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leon.vankan\Desktop\"/>
    </mc:Choice>
  </mc:AlternateContent>
  <workbookProtection workbookAlgorithmName="SHA-512" workbookHashValue="5KknOoXKA4bm/+r3Yrq8Uu5JyhGMp6R1DwLknr35qInS+DHOfoHJCF+hldHJM+BgntfHqa1WScerrSKSMsUQ+Q==" workbookSaltValue="aBTWudm2E/SMu6Awv99jKw==" workbookSpinCount="100000" lockStructure="1"/>
  <bookViews>
    <workbookView xWindow="0" yWindow="0" windowWidth="41280" windowHeight="13515" tabRatio="843" firstSheet="1" activeTab="2"/>
  </bookViews>
  <sheets>
    <sheet name="Sheet1" sheetId="9" state="hidden" r:id="rId1"/>
    <sheet name="..  How it Works .." sheetId="32" r:id="rId2"/>
    <sheet name="..  Individual and Business  .." sheetId="22" r:id="rId3"/>
  </sheets>
  <definedNames>
    <definedName name="_xlnm.Print_Area" localSheetId="1">'..  How it Works ..'!$A$1:$AB$47</definedName>
    <definedName name="_xlnm.Print_Area" localSheetId="2">'..  Individual and Business  ..'!$A$1:$AB$47</definedName>
  </definedNames>
  <calcPr calcId="152511" fullPrecision="0"/>
</workbook>
</file>

<file path=xl/calcChain.xml><?xml version="1.0" encoding="utf-8"?>
<calcChain xmlns="http://schemas.openxmlformats.org/spreadsheetml/2006/main">
  <c r="C397" i="32" l="1"/>
  <c r="S360" i="32"/>
  <c r="R360" i="32"/>
  <c r="Q360" i="32"/>
  <c r="S359" i="32"/>
  <c r="R359" i="32"/>
  <c r="R358" i="32"/>
  <c r="S358" i="32" s="1"/>
  <c r="S357" i="32"/>
  <c r="R357" i="32"/>
  <c r="S356" i="32"/>
  <c r="R356" i="32"/>
  <c r="S355" i="32"/>
  <c r="R355" i="32"/>
  <c r="AB352" i="32"/>
  <c r="X352" i="32"/>
  <c r="R351" i="32"/>
  <c r="P351" i="32"/>
  <c r="AB345" i="32"/>
  <c r="Z343" i="32"/>
  <c r="M342" i="32"/>
  <c r="R332" i="32"/>
  <c r="Q329" i="32"/>
  <c r="Q328" i="32"/>
  <c r="Q327" i="32"/>
  <c r="Q326" i="32"/>
  <c r="Q325" i="32"/>
  <c r="O325" i="32"/>
  <c r="D310" i="32" s="1"/>
  <c r="F310" i="32" s="1"/>
  <c r="M325" i="32"/>
  <c r="Q324" i="32"/>
  <c r="Q323" i="32"/>
  <c r="Q322" i="32"/>
  <c r="Q321" i="32"/>
  <c r="L321" i="32"/>
  <c r="Q320" i="32"/>
  <c r="L320" i="32"/>
  <c r="F320" i="32"/>
  <c r="Q319" i="32"/>
  <c r="L319" i="32"/>
  <c r="L322" i="32" s="1"/>
  <c r="Q318" i="32"/>
  <c r="L318" i="32"/>
  <c r="Z317" i="32"/>
  <c r="Q317" i="32"/>
  <c r="L317" i="32"/>
  <c r="Q316" i="32"/>
  <c r="O316" i="32"/>
  <c r="L336" i="32" s="1"/>
  <c r="F304" i="32" s="1"/>
  <c r="N316" i="32"/>
  <c r="L342" i="32" s="1"/>
  <c r="L316" i="32"/>
  <c r="L315" i="32"/>
  <c r="L314" i="32"/>
  <c r="F312" i="32"/>
  <c r="D312" i="32"/>
  <c r="Z310" i="32"/>
  <c r="D305" i="32"/>
  <c r="D320" i="32" s="1"/>
  <c r="D304" i="32"/>
  <c r="Z303" i="32"/>
  <c r="X303" i="32"/>
  <c r="T303" i="32"/>
  <c r="Q303" i="32"/>
  <c r="G303" i="32"/>
  <c r="F307" i="32" s="1"/>
  <c r="F311" i="32" s="1"/>
  <c r="F313" i="32" s="1"/>
  <c r="C40" i="32"/>
  <c r="C34" i="32"/>
  <c r="C30" i="32"/>
  <c r="C28" i="32"/>
  <c r="C24" i="32"/>
  <c r="G313" i="32" l="1"/>
  <c r="G315" i="32" s="1"/>
  <c r="F305" i="32"/>
  <c r="C334" i="32"/>
  <c r="D307" i="32"/>
  <c r="F315" i="32"/>
  <c r="D315" i="32" s="1"/>
  <c r="M336" i="32"/>
  <c r="G344" i="32" l="1"/>
  <c r="D311" i="32"/>
  <c r="D313" i="32" s="1"/>
  <c r="N340" i="32" l="1"/>
  <c r="G34" i="32"/>
  <c r="N345" i="32" s="1"/>
  <c r="K342" i="32"/>
  <c r="K336" i="32"/>
  <c r="D322" i="32"/>
  <c r="D321" i="32" l="1"/>
  <c r="D317" i="32"/>
  <c r="D319" i="32"/>
  <c r="O340" i="32"/>
  <c r="P340" i="32" s="1"/>
  <c r="R340" i="32" s="1"/>
  <c r="P342" i="32"/>
  <c r="Q342" i="32"/>
  <c r="R342" i="32" s="1"/>
  <c r="S342" i="32" s="1"/>
  <c r="N351" i="32"/>
  <c r="X329" i="32"/>
  <c r="Z322" i="32"/>
  <c r="Z315" i="32"/>
  <c r="X308" i="32"/>
  <c r="Q351" i="32"/>
  <c r="K351" i="32" s="1"/>
  <c r="R345" i="32" s="1"/>
  <c r="M351" i="32"/>
  <c r="Y331" i="32"/>
  <c r="W329" i="32"/>
  <c r="Y322" i="32"/>
  <c r="Y315" i="32"/>
  <c r="S351" i="32"/>
  <c r="W315" i="32"/>
  <c r="Y308" i="32"/>
  <c r="L351" i="32"/>
  <c r="Z329" i="32"/>
  <c r="X322" i="32"/>
  <c r="X315" i="32"/>
  <c r="Z308" i="32"/>
  <c r="O351" i="32"/>
  <c r="Y329" i="32"/>
  <c r="Z324" i="32" s="1"/>
  <c r="W322" i="32"/>
  <c r="AB357" i="32" l="1"/>
  <c r="AB350" i="32"/>
  <c r="V350" i="32"/>
  <c r="X345" i="32" s="1"/>
  <c r="AB343" i="32"/>
  <c r="X343" i="32"/>
  <c r="Y336" i="32"/>
  <c r="AC343" i="32"/>
  <c r="Y343" i="32"/>
  <c r="V336" i="32"/>
  <c r="X357" i="32"/>
  <c r="AA350" i="32"/>
  <c r="AA343" i="32"/>
  <c r="AC338" i="32" s="1"/>
  <c r="W343" i="32"/>
  <c r="Y338" i="32" s="1"/>
  <c r="N332" i="32" s="1"/>
  <c r="S332" i="32" s="1"/>
  <c r="N334" i="32" s="1"/>
  <c r="G348" i="32" s="1"/>
  <c r="X336" i="32"/>
  <c r="Z331" i="32" s="1"/>
  <c r="W357" i="32"/>
  <c r="X350" i="32"/>
  <c r="V343" i="32"/>
  <c r="W336" i="32"/>
  <c r="W350" i="32"/>
  <c r="Z336" i="32"/>
  <c r="D314" i="32"/>
  <c r="D318" i="32"/>
  <c r="D316" i="32" l="1"/>
  <c r="G314" i="32"/>
  <c r="F322" i="32" s="1"/>
  <c r="G26" i="32"/>
  <c r="G337" i="32"/>
  <c r="G346" i="32"/>
  <c r="G36" i="32" s="1"/>
  <c r="C348" i="32"/>
  <c r="C38" i="32" s="1"/>
  <c r="C346" i="32"/>
  <c r="C36" i="32" s="1"/>
  <c r="G38" i="32"/>
  <c r="G350" i="32"/>
  <c r="G40" i="32" s="1"/>
  <c r="F317" i="32" l="1"/>
  <c r="O320" i="32"/>
  <c r="G24" i="32" s="1"/>
  <c r="F321" i="32"/>
  <c r="C335" i="32" l="1"/>
  <c r="C333" i="32" s="1"/>
  <c r="N336" i="32" s="1"/>
  <c r="Q336" i="32" s="1"/>
  <c r="R336" i="32" s="1"/>
  <c r="S336" i="32" s="1"/>
  <c r="G334" i="32"/>
  <c r="G335" i="32" s="1"/>
  <c r="F28" i="32" s="1"/>
  <c r="F319" i="32"/>
  <c r="G333" i="32"/>
  <c r="F314" i="32"/>
  <c r="F318" i="32"/>
  <c r="R334" i="32" l="1"/>
  <c r="P334" i="32"/>
  <c r="O334" i="32"/>
  <c r="G28" i="32"/>
  <c r="F316" i="32"/>
  <c r="G341" i="32"/>
  <c r="G30" i="32" l="1"/>
  <c r="G339" i="32"/>
  <c r="G303" i="22" l="1"/>
  <c r="L318" i="22" l="1"/>
  <c r="Q325" i="22"/>
  <c r="Z343" i="22"/>
  <c r="Q324" i="22"/>
  <c r="Q322" i="22"/>
  <c r="Q321" i="22"/>
  <c r="L319" i="22"/>
  <c r="Q326" i="22"/>
  <c r="Q323" i="22"/>
  <c r="Q320" i="22" l="1"/>
  <c r="Q328" i="22" l="1"/>
  <c r="O316" i="22" l="1"/>
  <c r="L321" i="22" l="1"/>
  <c r="L320" i="22" l="1"/>
  <c r="Q327" i="22"/>
  <c r="Q329" i="22" l="1"/>
  <c r="Q319" i="22" l="1"/>
  <c r="Q318" i="22"/>
  <c r="R351" i="22" l="1"/>
  <c r="P351" i="22"/>
  <c r="L314" i="22" l="1"/>
  <c r="C24" i="22" l="1"/>
  <c r="N316" i="22" l="1"/>
  <c r="Q316" i="22" l="1"/>
  <c r="Q317" i="22" l="1"/>
  <c r="R359" i="22" l="1"/>
  <c r="S359" i="22" s="1"/>
  <c r="R358" i="22"/>
  <c r="S358" i="22" s="1"/>
  <c r="R357" i="22"/>
  <c r="S357" i="22" s="1"/>
  <c r="R356" i="22"/>
  <c r="R355" i="22"/>
  <c r="S355" i="22" s="1"/>
  <c r="Q360" i="22"/>
  <c r="S356" i="22" l="1"/>
  <c r="R360" i="22"/>
  <c r="L336" i="22" l="1"/>
  <c r="S360" i="22" l="1"/>
  <c r="R332" i="22" l="1"/>
  <c r="C397" i="22" l="1"/>
  <c r="O325" i="22" l="1"/>
  <c r="T303" i="22" l="1"/>
  <c r="Q303" i="22"/>
  <c r="D310" i="22" l="1"/>
  <c r="F310" i="22" s="1"/>
  <c r="M325" i="22"/>
  <c r="F312" i="22"/>
  <c r="D312" i="22"/>
  <c r="C40" i="22"/>
  <c r="C34" i="22"/>
  <c r="C30" i="22"/>
  <c r="C28" i="22"/>
  <c r="D305" i="22" l="1"/>
  <c r="M342" i="22"/>
  <c r="L342" i="22"/>
  <c r="D304" i="22"/>
  <c r="M336" i="22"/>
  <c r="F315" i="22" l="1"/>
  <c r="D315" i="22" s="1"/>
  <c r="F320" i="22"/>
  <c r="D320" i="22"/>
  <c r="C334" i="22" s="1"/>
  <c r="K219" i="9" l="1"/>
  <c r="L219" i="9"/>
  <c r="M219" i="9"/>
  <c r="N219" i="9"/>
  <c r="O219" i="9"/>
  <c r="P219" i="9"/>
  <c r="K220" i="9"/>
  <c r="L220" i="9"/>
  <c r="M220" i="9"/>
  <c r="N220" i="9"/>
  <c r="O220" i="9"/>
  <c r="P220" i="9"/>
  <c r="K221" i="9"/>
  <c r="L221" i="9"/>
  <c r="M221" i="9"/>
  <c r="N221" i="9"/>
  <c r="O221" i="9"/>
  <c r="P221" i="9"/>
  <c r="K222" i="9"/>
  <c r="L222" i="9"/>
  <c r="M222" i="9"/>
  <c r="N222" i="9"/>
  <c r="O222" i="9"/>
  <c r="P222" i="9"/>
  <c r="K223" i="9"/>
  <c r="L223" i="9"/>
  <c r="M223" i="9"/>
  <c r="J214" i="9" s="1"/>
  <c r="N223" i="9"/>
  <c r="O223" i="9"/>
  <c r="P223" i="9"/>
  <c r="K201" i="9"/>
  <c r="L201" i="9"/>
  <c r="M201" i="9"/>
  <c r="N201" i="9"/>
  <c r="O201" i="9"/>
  <c r="P201" i="9"/>
  <c r="K202" i="9"/>
  <c r="L202" i="9"/>
  <c r="M202" i="9"/>
  <c r="N202" i="9"/>
  <c r="O202" i="9"/>
  <c r="P202" i="9"/>
  <c r="K203" i="9"/>
  <c r="L203" i="9"/>
  <c r="M203" i="9"/>
  <c r="N203" i="9"/>
  <c r="O203" i="9"/>
  <c r="P203" i="9"/>
  <c r="K204" i="9"/>
  <c r="L204" i="9"/>
  <c r="M204" i="9"/>
  <c r="N204" i="9"/>
  <c r="O204" i="9"/>
  <c r="P204" i="9"/>
  <c r="K205" i="9"/>
  <c r="L205" i="9"/>
  <c r="M205" i="9"/>
  <c r="N205" i="9"/>
  <c r="O205" i="9"/>
  <c r="P205" i="9"/>
  <c r="J210" i="9"/>
  <c r="J211" i="9"/>
  <c r="J212" i="9"/>
  <c r="J213" i="9"/>
  <c r="N210" i="9"/>
  <c r="M207" i="9"/>
  <c r="M209" i="9" s="1"/>
  <c r="F212" i="9"/>
  <c r="F215" i="9"/>
  <c r="C208" i="9"/>
  <c r="M170" i="9"/>
  <c r="M173" i="9" s="1"/>
  <c r="C215" i="9"/>
  <c r="C222" i="9"/>
  <c r="F211" i="9"/>
  <c r="J192" i="9"/>
  <c r="J193" i="9"/>
  <c r="J194" i="9"/>
  <c r="J195" i="9"/>
  <c r="J196" i="9"/>
  <c r="N192" i="9"/>
  <c r="M189" i="9"/>
  <c r="M191" i="9" s="1"/>
  <c r="F194" i="9"/>
  <c r="F197" i="9"/>
  <c r="C190" i="9"/>
  <c r="C197" i="9"/>
  <c r="C204" i="9"/>
  <c r="F193" i="9"/>
  <c r="J173" i="9"/>
  <c r="J174" i="9"/>
  <c r="J175" i="9"/>
  <c r="J176" i="9"/>
  <c r="J177" i="9"/>
  <c r="N173" i="9"/>
  <c r="F175" i="9"/>
  <c r="F178" i="9"/>
  <c r="C178" i="9"/>
  <c r="C186" i="9"/>
  <c r="N175" i="9"/>
  <c r="F174" i="9"/>
  <c r="F210" i="9"/>
  <c r="C210" i="9"/>
  <c r="N208" i="9" s="1"/>
  <c r="F213" i="9" s="1"/>
  <c r="C192" i="9"/>
  <c r="F192" i="9"/>
  <c r="F173" i="9"/>
  <c r="C173" i="9"/>
  <c r="N171" i="9" s="1"/>
  <c r="F176" i="9" s="1"/>
  <c r="F177" i="9" s="1"/>
  <c r="N190" i="9"/>
  <c r="F195" i="9" s="1"/>
  <c r="J215" i="9" l="1"/>
  <c r="F208" i="9" s="1"/>
  <c r="F222" i="9" s="1"/>
  <c r="F179" i="9"/>
  <c r="J178" i="9"/>
  <c r="F171" i="9" s="1"/>
  <c r="F186" i="9" s="1"/>
  <c r="J197" i="9"/>
  <c r="F190" i="9" s="1"/>
  <c r="F204" i="9" s="1"/>
  <c r="C176" i="9"/>
  <c r="C177" i="9" s="1"/>
  <c r="C179" i="9" s="1"/>
  <c r="C187" i="9" s="1"/>
  <c r="C183" i="9" s="1"/>
  <c r="C180" i="9" s="1"/>
  <c r="C182" i="9" s="1"/>
  <c r="M192" i="9"/>
  <c r="M210" i="9"/>
  <c r="M172" i="9"/>
  <c r="C213" i="9"/>
  <c r="C214" i="9" s="1"/>
  <c r="C216" i="9" s="1"/>
  <c r="C223" i="9" s="1"/>
  <c r="C220" i="9" s="1"/>
  <c r="F214" i="9"/>
  <c r="F216" i="9" s="1"/>
  <c r="F223" i="9" s="1"/>
  <c r="F220" i="9" s="1"/>
  <c r="F217" i="9" s="1"/>
  <c r="F219" i="9" s="1"/>
  <c r="F196" i="9"/>
  <c r="F198" i="9" s="1"/>
  <c r="F205" i="9" s="1"/>
  <c r="F202" i="9" s="1"/>
  <c r="F199" i="9" s="1"/>
  <c r="F201" i="9" s="1"/>
  <c r="M212" i="9"/>
  <c r="M211" i="9"/>
  <c r="M194" i="9"/>
  <c r="M193" i="9"/>
  <c r="C195" i="9"/>
  <c r="C196" i="9" s="1"/>
  <c r="C198" i="9" s="1"/>
  <c r="C205" i="9" s="1"/>
  <c r="C202" i="9" s="1"/>
  <c r="C217" i="9" l="1"/>
  <c r="C219" i="9" s="1"/>
  <c r="C221" i="9"/>
  <c r="C218" i="9" s="1"/>
  <c r="F187" i="9"/>
  <c r="F183" i="9" s="1"/>
  <c r="F221" i="9"/>
  <c r="F218" i="9" s="1"/>
  <c r="C184" i="9"/>
  <c r="C181" i="9" s="1"/>
  <c r="M174" i="9"/>
  <c r="M175" i="9"/>
  <c r="F203" i="9"/>
  <c r="F200" i="9" s="1"/>
  <c r="C199" i="9"/>
  <c r="C201" i="9" s="1"/>
  <c r="C203" i="9"/>
  <c r="C200" i="9" s="1"/>
  <c r="F180" i="9" l="1"/>
  <c r="F182" i="9" s="1"/>
  <c r="F184" i="9"/>
  <c r="F181" i="9" s="1"/>
  <c r="F304" i="22" l="1"/>
  <c r="D307" i="22" l="1"/>
  <c r="D311" i="22" l="1"/>
  <c r="D313" i="22" s="1"/>
  <c r="G344" i="22"/>
  <c r="F307" i="22"/>
  <c r="F311" i="22" s="1"/>
  <c r="F313" i="22" s="1"/>
  <c r="D322" i="22" l="1"/>
  <c r="K336" i="22"/>
  <c r="G34" i="22"/>
  <c r="N345" i="22" s="1"/>
  <c r="N340" i="22"/>
  <c r="L315" i="22"/>
  <c r="L316" i="22"/>
  <c r="K342" i="22"/>
  <c r="L317" i="22" l="1"/>
  <c r="L322" i="22" s="1"/>
  <c r="F305" i="22" s="1"/>
  <c r="X329" i="22"/>
  <c r="Z329" i="22"/>
  <c r="Z322" i="22"/>
  <c r="X308" i="22"/>
  <c r="X303" i="22" s="1"/>
  <c r="Y329" i="22"/>
  <c r="W329" i="22"/>
  <c r="L351" i="22"/>
  <c r="Z308" i="22"/>
  <c r="W322" i="22"/>
  <c r="X322" i="22"/>
  <c r="Y322" i="22"/>
  <c r="Z315" i="22"/>
  <c r="O351" i="22"/>
  <c r="M351" i="22"/>
  <c r="W315" i="22"/>
  <c r="Y315" i="22"/>
  <c r="X315" i="22"/>
  <c r="Y331" i="22"/>
  <c r="Q351" i="22"/>
  <c r="Y308" i="22"/>
  <c r="Z303" i="22" s="1"/>
  <c r="N351" i="22"/>
  <c r="S351" i="22"/>
  <c r="P342" i="22"/>
  <c r="O340" i="22"/>
  <c r="P340" i="22" s="1"/>
  <c r="R340" i="22" s="1"/>
  <c r="Q342" i="22"/>
  <c r="R342" i="22" s="1"/>
  <c r="S342" i="22" s="1"/>
  <c r="D321" i="22"/>
  <c r="D317" i="22"/>
  <c r="D319" i="22"/>
  <c r="AB357" i="22" l="1"/>
  <c r="AB352" i="22" s="1"/>
  <c r="V350" i="22"/>
  <c r="X357" i="22"/>
  <c r="AA350" i="22"/>
  <c r="W357" i="22"/>
  <c r="V343" i="22"/>
  <c r="AB350" i="22"/>
  <c r="AA343" i="22"/>
  <c r="Z324" i="22"/>
  <c r="W343" i="22"/>
  <c r="AC343" i="22"/>
  <c r="Y343" i="22"/>
  <c r="X343" i="22"/>
  <c r="AB343" i="22"/>
  <c r="Z317" i="22"/>
  <c r="Z310" i="22"/>
  <c r="K351" i="22"/>
  <c r="R345" i="22" s="1"/>
  <c r="Y336" i="22"/>
  <c r="W336" i="22"/>
  <c r="G313" i="22"/>
  <c r="G315" i="22" s="1"/>
  <c r="D314" i="22"/>
  <c r="D318" i="22"/>
  <c r="W350" i="22"/>
  <c r="V336" i="22"/>
  <c r="X336" i="22"/>
  <c r="X350" i="22"/>
  <c r="Z336" i="22"/>
  <c r="AC338" i="22" l="1"/>
  <c r="X345" i="22"/>
  <c r="Y338" i="22"/>
  <c r="X352" i="22"/>
  <c r="AB345" i="22"/>
  <c r="Z331" i="22"/>
  <c r="G314" i="22"/>
  <c r="F322" i="22" s="1"/>
  <c r="F321" i="22" s="1"/>
  <c r="C335" i="22" s="1"/>
  <c r="C333" i="22" s="1"/>
  <c r="N336" i="22" s="1"/>
  <c r="D316" i="22"/>
  <c r="G337" i="22"/>
  <c r="G26" i="22"/>
  <c r="N332" i="22" l="1"/>
  <c r="S332" i="22" s="1"/>
  <c r="N334" i="22" s="1"/>
  <c r="G348" i="22" s="1"/>
  <c r="C348" i="22" s="1"/>
  <c r="C38" i="22" s="1"/>
  <c r="F317" i="22"/>
  <c r="O320" i="22"/>
  <c r="G24" i="22" s="1"/>
  <c r="G350" i="22" l="1"/>
  <c r="G40" i="22" s="1"/>
  <c r="G38" i="22"/>
  <c r="G346" i="22"/>
  <c r="G36" i="22" s="1"/>
  <c r="C346" i="22"/>
  <c r="C36" i="22" s="1"/>
  <c r="Q336" i="22"/>
  <c r="R336" i="22" s="1"/>
  <c r="S336" i="22" s="1"/>
  <c r="F314" i="22"/>
  <c r="F318" i="22"/>
  <c r="G334" i="22"/>
  <c r="G335" i="22" s="1"/>
  <c r="F28" i="22" s="1"/>
  <c r="G333" i="22"/>
  <c r="F319" i="22"/>
  <c r="P334" i="22" l="1"/>
  <c r="O334" i="22"/>
  <c r="R334" i="22"/>
  <c r="G28" i="22"/>
  <c r="F316" i="22"/>
  <c r="G341" i="22"/>
  <c r="G30" i="22" l="1"/>
  <c r="G339" i="22"/>
</calcChain>
</file>

<file path=xl/comments1.xml><?xml version="1.0" encoding="utf-8"?>
<comments xmlns="http://schemas.openxmlformats.org/spreadsheetml/2006/main">
  <authors>
    <author>Leon VanKan</author>
  </authors>
  <commentList>
    <comment ref="F22" authorId="0" shapeId="0">
      <text>
        <r>
          <rPr>
            <b/>
            <sz val="9"/>
            <color indexed="81"/>
            <rFont val="Tahoma"/>
            <family val="2"/>
          </rPr>
          <t>Leon VanKan: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Leon VanKan</author>
  </authors>
  <commentList>
    <comment ref="F22" authorId="0" shapeId="0">
      <text>
        <r>
          <rPr>
            <b/>
            <sz val="9"/>
            <color indexed="81"/>
            <rFont val="Tahoma"/>
            <family val="2"/>
          </rPr>
          <t>Leon VanKan: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<sst xmlns="http://schemas.openxmlformats.org/spreadsheetml/2006/main" count="734" uniqueCount="183">
  <si>
    <t>Interest Free Finance</t>
  </si>
  <si>
    <t>Switches</t>
  </si>
  <si>
    <t>Term</t>
  </si>
  <si>
    <t>Cash Price Inc</t>
  </si>
  <si>
    <t>Booking Fee</t>
  </si>
  <si>
    <t>Norm Term</t>
  </si>
  <si>
    <t>Int Free Term</t>
  </si>
  <si>
    <t>Finance Rate</t>
  </si>
  <si>
    <t>6 Months</t>
  </si>
  <si>
    <t>3 Months</t>
  </si>
  <si>
    <t>Repayment Table</t>
  </si>
  <si>
    <t>12 Months</t>
  </si>
  <si>
    <t>Total Cash Price (Incl. GST)</t>
  </si>
  <si>
    <t>18 Months</t>
  </si>
  <si>
    <t>Insurance Rate</t>
  </si>
  <si>
    <t>Int Fre Term</t>
  </si>
  <si>
    <t>24 Months</t>
  </si>
  <si>
    <t>Insurance Amount</t>
  </si>
  <si>
    <t>36 Months</t>
  </si>
  <si>
    <t>Total Gross Cost</t>
  </si>
  <si>
    <t>A</t>
  </si>
  <si>
    <t>Less Deposit</t>
  </si>
  <si>
    <t>B</t>
  </si>
  <si>
    <t>Amount Financed (A-B)</t>
  </si>
  <si>
    <t>C</t>
  </si>
  <si>
    <t>Finance Charges</t>
  </si>
  <si>
    <t>Total Charges</t>
  </si>
  <si>
    <t>D</t>
  </si>
  <si>
    <t>Months Interest Free</t>
  </si>
  <si>
    <t>Monthly Payments</t>
  </si>
  <si>
    <t>Total Cost of Credit</t>
  </si>
  <si>
    <t>Balance Payable (C+D)</t>
  </si>
  <si>
    <t>E</t>
  </si>
  <si>
    <t>-</t>
  </si>
  <si>
    <t>Total Cost of Transaction (A+D)</t>
  </si>
  <si>
    <t>F</t>
  </si>
  <si>
    <t>Interest Rate</t>
  </si>
  <si>
    <t>Exclusive</t>
  </si>
  <si>
    <t xml:space="preserve">Inclusive </t>
  </si>
  <si>
    <t>GST Switch</t>
  </si>
  <si>
    <t>Total INC</t>
  </si>
  <si>
    <t>Gst Pull Men</t>
  </si>
  <si>
    <t>Table 1 - Current Finance</t>
  </si>
  <si>
    <t>Table 2 - Current Finance</t>
  </si>
  <si>
    <t>Table 3 - Current Finance</t>
  </si>
  <si>
    <t>Retail Difference (Your Client Saves)</t>
  </si>
  <si>
    <t>6 M</t>
  </si>
  <si>
    <t>12 M</t>
  </si>
  <si>
    <t>18 M</t>
  </si>
  <si>
    <t>24 M</t>
  </si>
  <si>
    <t>36 M</t>
  </si>
  <si>
    <t>Current Finance</t>
  </si>
  <si>
    <t>Cash $ - Dep</t>
  </si>
  <si>
    <t>Am Financed</t>
  </si>
  <si>
    <t>Int Fr Term</t>
  </si>
  <si>
    <t>Rate %</t>
  </si>
  <si>
    <t>W %</t>
  </si>
  <si>
    <t>Paymts</t>
  </si>
  <si>
    <t>W - PV</t>
  </si>
  <si>
    <t>PV</t>
  </si>
  <si>
    <t>$ Range</t>
  </si>
  <si>
    <t>Interest Charge</t>
  </si>
  <si>
    <t>Admin Fee</t>
  </si>
  <si>
    <t>Interest Free / Discounted Interest Amount</t>
  </si>
  <si>
    <t>SW</t>
  </si>
  <si>
    <t>Total Payable to your Bank Account</t>
  </si>
  <si>
    <t>Normal</t>
  </si>
  <si>
    <t>Normal Interest Amount</t>
  </si>
  <si>
    <t>Int Free Trm</t>
  </si>
  <si>
    <t>Presant Value</t>
  </si>
  <si>
    <t>6M</t>
  </si>
  <si>
    <t>12M</t>
  </si>
  <si>
    <t>18M</t>
  </si>
  <si>
    <t>24M</t>
  </si>
  <si>
    <t>36M</t>
  </si>
  <si>
    <t>www.creditcapable.co.nz/html/gold.html</t>
  </si>
  <si>
    <t>$500 - $3000</t>
  </si>
  <si>
    <t>$3001 - $6000</t>
  </si>
  <si>
    <t>$6001 - $20,000</t>
  </si>
  <si>
    <t>Individual Finance</t>
  </si>
  <si>
    <t>Business Finance</t>
  </si>
  <si>
    <t>Fin Type</t>
  </si>
  <si>
    <t>accounts@creditcapable.co.nz</t>
  </si>
  <si>
    <t>IRR (Internal Rate of Return)</t>
  </si>
  <si>
    <t>Interest Switch</t>
  </si>
  <si>
    <t>2 Months</t>
  </si>
  <si>
    <t>48 M</t>
  </si>
  <si>
    <t>12M IF</t>
  </si>
  <si>
    <t>9M IF</t>
  </si>
  <si>
    <t>9 Months</t>
  </si>
  <si>
    <t>2M IF</t>
  </si>
  <si>
    <t>Weekly</t>
  </si>
  <si>
    <t>Fortnightly</t>
  </si>
  <si>
    <t>Monthly</t>
  </si>
  <si>
    <t>Purchase Price - Deposit</t>
  </si>
  <si>
    <t>A break down of each sale will be detailed in the Payment Notifications we send you.</t>
  </si>
  <si>
    <t>Individual</t>
  </si>
  <si>
    <t>Business</t>
  </si>
  <si>
    <t>IF $ and % from payment</t>
  </si>
  <si>
    <t>Processing Options Switch</t>
  </si>
  <si>
    <t>Processing options</t>
  </si>
  <si>
    <t>4M IF</t>
  </si>
  <si>
    <t>4 Months</t>
  </si>
  <si>
    <t>Promotion Term</t>
  </si>
  <si>
    <t>Repayment Term</t>
  </si>
  <si>
    <t>Frequency Type</t>
  </si>
  <si>
    <t>`</t>
  </si>
  <si>
    <t>Camera Cash Backs = Approx 5%</t>
  </si>
  <si>
    <t>Switch</t>
  </si>
  <si>
    <t>Dealer</t>
  </si>
  <si>
    <t>Fin Type Term</t>
  </si>
  <si>
    <t>3M IF</t>
  </si>
  <si>
    <t>6M IF</t>
  </si>
  <si>
    <t>0% Int Term</t>
  </si>
  <si>
    <t>Interest Free Cost (Switch)</t>
  </si>
  <si>
    <t>0% Interest Cost (Switch)</t>
  </si>
  <si>
    <t>0% Ret</t>
  </si>
  <si>
    <t>D Cost</t>
  </si>
  <si>
    <t>CC Cost</t>
  </si>
  <si>
    <t>CC Ern</t>
  </si>
  <si>
    <t>Interest Free Calcs</t>
  </si>
  <si>
    <t>0% Interest Calcs</t>
  </si>
  <si>
    <t xml:space="preserve"> Option D  =  -5.4% to -15% Retentions</t>
  </si>
  <si>
    <t xml:space="preserve"> Option C  =  -3.2% to -11.5% Retentions</t>
  </si>
  <si>
    <t xml:space="preserve"> Option B  =  -3.2 to -8.8% Retentions</t>
  </si>
  <si>
    <t xml:space="preserve"> Option A  =  -3.2 to -5.4% Retentions</t>
  </si>
  <si>
    <t xml:space="preserve"> Level 3      ( -2% to -3.5% Retentions )</t>
  </si>
  <si>
    <t xml:space="preserve"> Level 2      ( .5% Rebates to -2.5% Retentions )</t>
  </si>
  <si>
    <t xml:space="preserve"> Level 1      ( No Cost to .5% Rebates )</t>
  </si>
  <si>
    <t xml:space="preserve">                       Client Type</t>
  </si>
  <si>
    <t xml:space="preserve">                       Promo Type</t>
  </si>
  <si>
    <t xml:space="preserve"> Level 4      ( -3.3% to -4.5% Retentions )</t>
  </si>
  <si>
    <t xml:space="preserve"> Loss Leader options  ( -3.3% to -5.5% Retentions )</t>
  </si>
  <si>
    <t>CC Ern + Bk -$10</t>
  </si>
  <si>
    <t>Old</t>
  </si>
  <si>
    <t>O+2.4%</t>
  </si>
  <si>
    <t>Int Free costs @ 0% (O+.5%)</t>
  </si>
  <si>
    <t>Monthly Admin</t>
  </si>
  <si>
    <r>
      <rPr>
        <b/>
        <sz val="10"/>
        <color theme="1" tint="0.34998626667073579"/>
        <rFont val="Arial"/>
        <family val="2"/>
      </rPr>
      <t>Sale payment information</t>
    </r>
    <r>
      <rPr>
        <sz val="10"/>
        <color theme="1" tint="0.34998626667073579"/>
        <rFont val="Arial"/>
        <family val="2"/>
      </rPr>
      <t xml:space="preserve">  </t>
    </r>
    <r>
      <rPr>
        <sz val="8"/>
        <color theme="1" tint="0.34998626667073579"/>
        <rFont val="Arial"/>
        <family val="2"/>
      </rPr>
      <t>-  If you need help - Ph 0800 74 11 11 - Ext 3.</t>
    </r>
  </si>
  <si>
    <t xml:space="preserve"> Deposit</t>
  </si>
  <si>
    <t xml:space="preserve"> Total Price Including GST</t>
  </si>
  <si>
    <t>Register your Processing options here…</t>
  </si>
  <si>
    <t>For questions and queries please email…</t>
  </si>
  <si>
    <t>5 Months</t>
  </si>
  <si>
    <t>1 Months</t>
  </si>
  <si>
    <t>30 Months</t>
  </si>
  <si>
    <t>Standard Rate Finance</t>
  </si>
  <si>
    <t>Standard Rate Interest Total</t>
  </si>
  <si>
    <t>42 Months</t>
  </si>
  <si>
    <t>48 Months</t>
  </si>
  <si>
    <t>$6001 - $25000</t>
  </si>
  <si>
    <t>Weekly Payments</t>
  </si>
  <si>
    <t>Fortnightly Payments</t>
  </si>
  <si>
    <t>42 M</t>
  </si>
  <si>
    <t>5M IF</t>
  </si>
  <si>
    <t>1 IF</t>
  </si>
  <si>
    <t>Mthly</t>
  </si>
  <si>
    <t>Term and Promo Term menu options</t>
  </si>
  <si>
    <t>Biz Book</t>
  </si>
  <si>
    <t>Ind Book</t>
  </si>
  <si>
    <t>0% 
Int Term</t>
  </si>
  <si>
    <t>30 M</t>
  </si>
  <si>
    <t>0% and IF Var Rates @ 3k Range</t>
  </si>
  <si>
    <t>Rebate</t>
  </si>
  <si>
    <t>St FIN REBATEs</t>
  </si>
  <si>
    <t>Price - Dep</t>
  </si>
  <si>
    <t>7 Months</t>
  </si>
  <si>
    <t>8 Months</t>
  </si>
  <si>
    <t>7M IF</t>
  </si>
  <si>
    <t>8M IF</t>
  </si>
  <si>
    <t>10 Months</t>
  </si>
  <si>
    <t>11 Months</t>
  </si>
  <si>
    <t>10M IF</t>
  </si>
  <si>
    <t>11M IF</t>
  </si>
  <si>
    <t>Correction Rate</t>
  </si>
  <si>
    <r>
      <rPr>
        <b/>
        <sz val="8"/>
        <rFont val="Arial"/>
        <family val="2"/>
      </rPr>
      <t>CAUTION:</t>
    </r>
    <r>
      <rPr>
        <sz val="8"/>
        <rFont val="Arial"/>
        <family val="2"/>
      </rPr>
      <t xml:space="preserve"> This correspondence with accompanying data contains information that is confidential
and subject to commercial agreements. If you are not the intended recipient you are hereby notified – that any dissemination, distribution or copying of this information / data is: STRICTLY PROHIBITED.</t>
    </r>
  </si>
  <si>
    <r>
      <rPr>
        <b/>
        <sz val="12"/>
        <rFont val="Arial"/>
        <family val="2"/>
      </rPr>
      <t>Individual and Business Finance</t>
    </r>
    <r>
      <rPr>
        <b/>
        <sz val="9"/>
        <rFont val="Arial"/>
        <family val="2"/>
      </rPr>
      <t xml:space="preserve">
</t>
    </r>
    <r>
      <rPr>
        <b/>
        <sz val="8"/>
        <rFont val="Arial"/>
        <family val="2"/>
      </rPr>
      <t>Retailer Calculator Ver 10.7</t>
    </r>
    <r>
      <rPr>
        <sz val="8"/>
        <rFont val="Arial"/>
        <family val="2"/>
      </rPr>
      <t xml:space="preserve">  -  $500 to $25,000 purchases</t>
    </r>
  </si>
  <si>
    <t xml:space="preserve"> </t>
  </si>
  <si>
    <t>500-6k%</t>
  </si>
  <si>
    <t>6k+</t>
  </si>
  <si>
    <t>12k+</t>
  </si>
  <si>
    <t>Rate Switch</t>
  </si>
  <si>
    <t>Use the BLUE input fields for calculations.  All pull down options are selectable except N/A.
Quoted Repayments, Rates and Interest Totals are to be treated as an indicative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</si>
</sst>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&quot;$&quot;#,##0.00"/>
    <numFmt numFmtId="166" formatCode="&quot;$&quot;#,##0.00;[Red]&quot;$&quot;#,##0.00"/>
    <numFmt numFmtId="167" formatCode="[$$-1409]#,##0.00;[Red]\-[$$-1409]#,##0.00"/>
    <numFmt numFmtId="168" formatCode="_-* #,##0_-;\-* #,##0_-;_-* &quot;-&quot;??_-;_-@_-"/>
    <numFmt numFmtId="169" formatCode="_-* #,##0.000_-;\-* #,##0.000_-;_-* &quot;-&quot;??_-;_-@_-"/>
    <numFmt numFmtId="170" formatCode="0.0%"/>
    <numFmt numFmtId="171" formatCode="_-* #,##0.00000_-;\-* #,##0.00000_-;_-* &quot;-&quot;??_-;_-@_-"/>
    <numFmt numFmtId="172" formatCode="_-* #,##0.0000_-;\-* #,##0.0000_-;_-* &quot;-&quot;??_-;_-@_-"/>
  </numFmts>
  <fonts count="5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.5"/>
      <name val="MS Sans Serif"/>
      <family val="2"/>
    </font>
    <font>
      <b/>
      <sz val="8.5"/>
      <name val="MS Sans Serif"/>
      <family val="2"/>
    </font>
    <font>
      <sz val="7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u/>
      <sz val="8.5"/>
      <color indexed="12"/>
      <name val="Arial"/>
      <family val="2"/>
    </font>
    <font>
      <sz val="7.5"/>
      <name val="Arial"/>
      <family val="2"/>
    </font>
    <font>
      <sz val="24"/>
      <name val="Arial"/>
      <family val="2"/>
    </font>
    <font>
      <sz val="20"/>
      <name val="Arial"/>
      <family val="2"/>
    </font>
    <font>
      <b/>
      <sz val="8"/>
      <name val="Arial"/>
      <family val="2"/>
    </font>
    <font>
      <sz val="8"/>
      <color theme="1" tint="0.34998626667073579"/>
      <name val="Arial"/>
      <family val="2"/>
    </font>
    <font>
      <u/>
      <sz val="8"/>
      <color theme="10"/>
      <name val="Arial"/>
      <family val="2"/>
    </font>
    <font>
      <b/>
      <sz val="14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theme="1"/>
      <name val="Arial"/>
      <family val="2"/>
    </font>
    <font>
      <sz val="7"/>
      <color theme="1" tint="0.499984740745262"/>
      <name val="Arial"/>
      <family val="2"/>
    </font>
    <font>
      <b/>
      <sz val="20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sz val="8"/>
      <color theme="1" tint="0.249977111117893"/>
      <name val="Arial"/>
      <family val="2"/>
    </font>
    <font>
      <sz val="10"/>
      <color theme="0"/>
      <name val="Arial"/>
      <family val="2"/>
    </font>
    <font>
      <b/>
      <sz val="14"/>
      <color rgb="FF43403D"/>
      <name val="Arial"/>
      <family val="2"/>
    </font>
    <font>
      <b/>
      <sz val="10"/>
      <color theme="1" tint="0.34998626667073579"/>
      <name val="Arial"/>
      <family val="2"/>
    </font>
    <font>
      <sz val="10"/>
      <name val="Arial"/>
      <family val="2"/>
    </font>
    <font>
      <i/>
      <sz val="8"/>
      <color rgb="FF43403D"/>
      <name val="Arial"/>
      <family val="2"/>
    </font>
    <font>
      <b/>
      <i/>
      <sz val="10"/>
      <name val="Arial"/>
      <family val="2"/>
    </font>
    <font>
      <b/>
      <sz val="8"/>
      <color rgb="FF43403D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24"/>
      <color theme="0"/>
      <name val="Arial"/>
      <family val="2"/>
    </font>
    <font>
      <b/>
      <sz val="8.5"/>
      <color theme="0"/>
      <name val="Arial"/>
      <family val="2"/>
    </font>
    <font>
      <sz val="8.5"/>
      <color theme="0"/>
      <name val="MS Sans Serif"/>
      <family val="2"/>
    </font>
    <font>
      <b/>
      <sz val="8.5"/>
      <color theme="0"/>
      <name val="MS Sans Serif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sz val="8.5"/>
      <color theme="0"/>
      <name val="Arial"/>
      <family val="2"/>
    </font>
    <font>
      <sz val="9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</borders>
  <cellStyleXfs count="28">
    <xf numFmtId="167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7" fillId="0" borderId="0"/>
    <xf numFmtId="0" fontId="7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167" fontId="1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0" fontId="1" fillId="0" borderId="0"/>
    <xf numFmtId="0" fontId="1" fillId="0" borderId="0"/>
    <xf numFmtId="43" fontId="32" fillId="0" borderId="0" applyFont="0" applyFill="0" applyBorder="0" applyAlignment="0" applyProtection="0"/>
  </cellStyleXfs>
  <cellXfs count="448">
    <xf numFmtId="167" fontId="0" fillId="0" borderId="0" xfId="0"/>
    <xf numFmtId="167" fontId="2" fillId="0" borderId="4" xfId="0" applyFont="1" applyFill="1" applyBorder="1" applyAlignment="1" applyProtection="1">
      <alignment horizontal="center"/>
      <protection locked="0"/>
    </xf>
    <xf numFmtId="167" fontId="2" fillId="0" borderId="4" xfId="0" applyFont="1" applyFill="1" applyBorder="1" applyAlignment="1" applyProtection="1">
      <alignment horizontal="center" wrapText="1"/>
      <protection locked="0"/>
    </xf>
    <xf numFmtId="167" fontId="2" fillId="0" borderId="7" xfId="0" applyFont="1" applyFill="1" applyBorder="1" applyProtection="1">
      <protection locked="0"/>
    </xf>
    <xf numFmtId="167" fontId="4" fillId="0" borderId="23" xfId="0" applyFont="1" applyFill="1" applyBorder="1" applyProtection="1">
      <protection locked="0"/>
    </xf>
    <xf numFmtId="167" fontId="5" fillId="0" borderId="23" xfId="0" applyFont="1" applyFill="1" applyBorder="1" applyProtection="1">
      <protection locked="0"/>
    </xf>
    <xf numFmtId="165" fontId="4" fillId="0" borderId="23" xfId="0" applyNumberFormat="1" applyFont="1" applyFill="1" applyBorder="1" applyAlignment="1" applyProtection="1">
      <alignment horizontal="left"/>
      <protection locked="0"/>
    </xf>
    <xf numFmtId="167" fontId="4" fillId="0" borderId="18" xfId="0" applyFont="1" applyFill="1" applyBorder="1" applyProtection="1">
      <protection locked="0"/>
    </xf>
    <xf numFmtId="10" fontId="2" fillId="0" borderId="19" xfId="2" applyNumberFormat="1" applyFont="1" applyFill="1" applyBorder="1" applyAlignment="1" applyProtection="1">
      <alignment horizontal="center" shrinkToFit="1"/>
      <protection locked="0"/>
    </xf>
    <xf numFmtId="167" fontId="2" fillId="0" borderId="0" xfId="0" applyFont="1" applyFill="1" applyBorder="1" applyProtection="1">
      <protection locked="0"/>
    </xf>
    <xf numFmtId="167" fontId="4" fillId="0" borderId="0" xfId="0" applyFont="1" applyFill="1" applyBorder="1" applyProtection="1">
      <protection locked="0"/>
    </xf>
    <xf numFmtId="167" fontId="5" fillId="0" borderId="0" xfId="0" applyFont="1" applyFill="1" applyBorder="1" applyProtection="1">
      <protection locked="0"/>
    </xf>
    <xf numFmtId="165" fontId="4" fillId="0" borderId="0" xfId="0" applyNumberFormat="1" applyFont="1" applyFill="1" applyBorder="1" applyAlignment="1" applyProtection="1">
      <alignment horizontal="left"/>
      <protection locked="0"/>
    </xf>
    <xf numFmtId="167" fontId="1" fillId="0" borderId="0" xfId="0" applyFont="1" applyFill="1" applyBorder="1" applyProtection="1">
      <protection locked="0"/>
    </xf>
    <xf numFmtId="167" fontId="2" fillId="0" borderId="15" xfId="0" applyFont="1" applyFill="1" applyBorder="1" applyAlignment="1" applyProtection="1">
      <alignment vertical="center"/>
      <protection locked="0"/>
    </xf>
    <xf numFmtId="167" fontId="2" fillId="0" borderId="34" xfId="0" applyFont="1" applyFill="1" applyBorder="1" applyProtection="1">
      <protection locked="0"/>
    </xf>
    <xf numFmtId="10" fontId="2" fillId="2" borderId="10" xfId="2" applyNumberFormat="1" applyFont="1" applyFill="1" applyBorder="1" applyAlignment="1" applyProtection="1">
      <alignment shrinkToFit="1"/>
      <protection locked="0"/>
    </xf>
    <xf numFmtId="10" fontId="2" fillId="2" borderId="12" xfId="2" applyNumberFormat="1" applyFont="1" applyFill="1" applyBorder="1" applyAlignment="1" applyProtection="1">
      <alignment horizontal="center" shrinkToFit="1"/>
      <protection locked="0"/>
    </xf>
    <xf numFmtId="10" fontId="2" fillId="2" borderId="13" xfId="2" applyNumberFormat="1" applyFont="1" applyFill="1" applyBorder="1" applyAlignment="1" applyProtection="1">
      <alignment horizontal="center" shrinkToFit="1"/>
      <protection locked="0"/>
    </xf>
    <xf numFmtId="10" fontId="2" fillId="2" borderId="11" xfId="2" applyNumberFormat="1" applyFont="1" applyFill="1" applyBorder="1" applyAlignment="1" applyProtection="1">
      <alignment horizontal="center" shrinkToFit="1"/>
      <protection locked="0"/>
    </xf>
    <xf numFmtId="10" fontId="2" fillId="2" borderId="23" xfId="2" applyNumberFormat="1" applyFont="1" applyFill="1" applyBorder="1" applyAlignment="1" applyProtection="1">
      <alignment shrinkToFit="1"/>
      <protection locked="0"/>
    </xf>
    <xf numFmtId="10" fontId="2" fillId="2" borderId="20" xfId="2" applyNumberFormat="1" applyFont="1" applyFill="1" applyBorder="1" applyAlignment="1" applyProtection="1">
      <alignment horizontal="center" shrinkToFit="1"/>
      <protection locked="0"/>
    </xf>
    <xf numFmtId="10" fontId="2" fillId="2" borderId="21" xfId="2" applyNumberFormat="1" applyFont="1" applyFill="1" applyBorder="1" applyAlignment="1" applyProtection="1">
      <alignment horizontal="center" shrinkToFit="1"/>
      <protection locked="0"/>
    </xf>
    <xf numFmtId="10" fontId="2" fillId="2" borderId="24" xfId="2" applyNumberFormat="1" applyFont="1" applyFill="1" applyBorder="1" applyAlignment="1" applyProtection="1">
      <alignment horizontal="center" shrinkToFit="1"/>
      <protection locked="0"/>
    </xf>
    <xf numFmtId="10" fontId="2" fillId="2" borderId="18" xfId="2" applyNumberFormat="1" applyFont="1" applyFill="1" applyBorder="1" applyAlignment="1" applyProtection="1">
      <alignment shrinkToFit="1"/>
      <protection locked="0"/>
    </xf>
    <xf numFmtId="10" fontId="2" fillId="2" borderId="35" xfId="2" applyNumberFormat="1" applyFont="1" applyFill="1" applyBorder="1" applyAlignment="1" applyProtection="1">
      <alignment horizontal="center" shrinkToFit="1"/>
      <protection locked="0"/>
    </xf>
    <xf numFmtId="10" fontId="2" fillId="2" borderId="27" xfId="2" applyNumberFormat="1" applyFont="1" applyFill="1" applyBorder="1" applyAlignment="1" applyProtection="1">
      <alignment horizontal="center" shrinkToFit="1"/>
      <protection locked="0"/>
    </xf>
    <xf numFmtId="10" fontId="2" fillId="2" borderId="19" xfId="2" applyNumberFormat="1" applyFont="1" applyFill="1" applyBorder="1" applyAlignment="1" applyProtection="1">
      <alignment horizontal="center" shrinkToFit="1"/>
      <protection locked="0"/>
    </xf>
    <xf numFmtId="167" fontId="2" fillId="0" borderId="0" xfId="0" applyFont="1" applyAlignment="1" applyProtection="1">
      <alignment shrinkToFit="1"/>
      <protection locked="0"/>
    </xf>
    <xf numFmtId="167" fontId="2" fillId="0" borderId="0" xfId="0" applyFont="1" applyFill="1" applyBorder="1" applyAlignment="1" applyProtection="1">
      <alignment shrinkToFit="1"/>
      <protection locked="0"/>
    </xf>
    <xf numFmtId="167" fontId="2" fillId="3" borderId="5" xfId="0" applyFont="1" applyFill="1" applyBorder="1" applyAlignment="1" applyProtection="1">
      <alignment horizontal="center" shrinkToFit="1"/>
      <protection locked="0"/>
    </xf>
    <xf numFmtId="167" fontId="2" fillId="0" borderId="32" xfId="0" applyFont="1" applyBorder="1" applyAlignment="1" applyProtection="1">
      <alignment horizontal="center" shrinkToFit="1"/>
      <protection locked="0"/>
    </xf>
    <xf numFmtId="167" fontId="2" fillId="0" borderId="33" xfId="0" applyFont="1" applyBorder="1" applyAlignment="1" applyProtection="1">
      <alignment horizontal="center" shrinkToFit="1"/>
      <protection locked="0"/>
    </xf>
    <xf numFmtId="167" fontId="2" fillId="0" borderId="6" xfId="0" applyFont="1" applyBorder="1" applyAlignment="1" applyProtection="1">
      <alignment horizontal="center" shrinkToFit="1"/>
      <protection locked="0"/>
    </xf>
    <xf numFmtId="167" fontId="2" fillId="0" borderId="7" xfId="0" applyFont="1" applyFill="1" applyBorder="1" applyAlignment="1" applyProtection="1">
      <alignment horizontal="center" shrinkToFit="1"/>
      <protection locked="0"/>
    </xf>
    <xf numFmtId="167" fontId="2" fillId="0" borderId="15" xfId="0" applyFont="1" applyFill="1" applyBorder="1" applyAlignment="1" applyProtection="1">
      <alignment horizontal="center" shrinkToFit="1"/>
      <protection locked="0"/>
    </xf>
    <xf numFmtId="167" fontId="2" fillId="0" borderId="34" xfId="0" applyFont="1" applyFill="1" applyBorder="1" applyAlignment="1" applyProtection="1">
      <alignment horizontal="center" shrinkToFit="1"/>
      <protection locked="0"/>
    </xf>
    <xf numFmtId="10" fontId="2" fillId="0" borderId="10" xfId="2" applyNumberFormat="1" applyFont="1" applyFill="1" applyBorder="1" applyAlignment="1" applyProtection="1">
      <alignment shrinkToFit="1"/>
      <protection locked="0"/>
    </xf>
    <xf numFmtId="10" fontId="2" fillId="0" borderId="12" xfId="2" applyNumberFormat="1" applyFont="1" applyFill="1" applyBorder="1" applyAlignment="1" applyProtection="1">
      <alignment horizontal="center" shrinkToFit="1"/>
      <protection locked="0"/>
    </xf>
    <xf numFmtId="10" fontId="2" fillId="0" borderId="13" xfId="2" applyNumberFormat="1" applyFont="1" applyFill="1" applyBorder="1" applyAlignment="1" applyProtection="1">
      <alignment horizontal="center" shrinkToFit="1"/>
      <protection locked="0"/>
    </xf>
    <xf numFmtId="10" fontId="2" fillId="0" borderId="11" xfId="2" applyNumberFormat="1" applyFont="1" applyFill="1" applyBorder="1" applyAlignment="1" applyProtection="1">
      <alignment horizontal="center" shrinkToFit="1"/>
      <protection locked="0"/>
    </xf>
    <xf numFmtId="10" fontId="2" fillId="0" borderId="23" xfId="2" applyNumberFormat="1" applyFont="1" applyFill="1" applyBorder="1" applyAlignment="1" applyProtection="1">
      <alignment shrinkToFit="1"/>
      <protection locked="0"/>
    </xf>
    <xf numFmtId="10" fontId="2" fillId="0" borderId="20" xfId="2" applyNumberFormat="1" applyFont="1" applyFill="1" applyBorder="1" applyAlignment="1" applyProtection="1">
      <alignment horizontal="center" shrinkToFit="1"/>
      <protection locked="0"/>
    </xf>
    <xf numFmtId="10" fontId="2" fillId="0" borderId="21" xfId="2" applyNumberFormat="1" applyFont="1" applyFill="1" applyBorder="1" applyAlignment="1" applyProtection="1">
      <alignment horizontal="center" shrinkToFit="1"/>
      <protection locked="0"/>
    </xf>
    <xf numFmtId="10" fontId="2" fillId="0" borderId="24" xfId="2" applyNumberFormat="1" applyFont="1" applyFill="1" applyBorder="1" applyAlignment="1" applyProtection="1">
      <alignment horizontal="center" shrinkToFit="1"/>
      <protection locked="0"/>
    </xf>
    <xf numFmtId="10" fontId="2" fillId="0" borderId="18" xfId="2" applyNumberFormat="1" applyFont="1" applyFill="1" applyBorder="1" applyAlignment="1" applyProtection="1">
      <alignment shrinkToFit="1"/>
      <protection locked="0"/>
    </xf>
    <xf numFmtId="10" fontId="2" fillId="0" borderId="35" xfId="2" applyNumberFormat="1" applyFont="1" applyFill="1" applyBorder="1" applyAlignment="1" applyProtection="1">
      <alignment horizontal="center" shrinkToFit="1"/>
      <protection locked="0"/>
    </xf>
    <xf numFmtId="10" fontId="2" fillId="0" borderId="27" xfId="2" applyNumberFormat="1" applyFont="1" applyFill="1" applyBorder="1" applyAlignment="1" applyProtection="1">
      <alignment horizontal="center" shrinkToFit="1"/>
      <protection locked="0"/>
    </xf>
    <xf numFmtId="167" fontId="1" fillId="0" borderId="0" xfId="0" applyFont="1" applyProtection="1">
      <protection locked="0"/>
    </xf>
    <xf numFmtId="167" fontId="1" fillId="0" borderId="0" xfId="0" applyFont="1"/>
    <xf numFmtId="167" fontId="1" fillId="0" borderId="5" xfId="0" applyFont="1" applyBorder="1" applyAlignment="1" applyProtection="1">
      <alignment horizontal="center" shrinkToFit="1"/>
      <protection locked="0"/>
    </xf>
    <xf numFmtId="44" fontId="1" fillId="0" borderId="8" xfId="0" applyNumberFormat="1" applyFont="1" applyFill="1" applyBorder="1" applyAlignment="1" applyProtection="1">
      <alignment shrinkToFit="1"/>
      <protection locked="0"/>
    </xf>
    <xf numFmtId="167" fontId="1" fillId="0" borderId="6" xfId="0" applyFont="1" applyFill="1" applyBorder="1" applyAlignment="1" applyProtection="1">
      <alignment horizontal="center" shrinkToFit="1"/>
      <protection locked="0"/>
    </xf>
    <xf numFmtId="10" fontId="1" fillId="2" borderId="31" xfId="2" applyNumberFormat="1" applyFont="1" applyFill="1" applyBorder="1" applyAlignment="1" applyProtection="1">
      <alignment horizontal="center"/>
      <protection locked="0"/>
    </xf>
    <xf numFmtId="10" fontId="1" fillId="0" borderId="9" xfId="2" applyNumberFormat="1" applyFont="1" applyFill="1" applyBorder="1" applyProtection="1">
      <protection locked="0"/>
    </xf>
    <xf numFmtId="10" fontId="1" fillId="0" borderId="31" xfId="2" applyNumberFormat="1" applyFont="1" applyFill="1" applyBorder="1" applyAlignment="1" applyProtection="1">
      <alignment horizontal="center" shrinkToFit="1"/>
      <protection locked="0"/>
    </xf>
    <xf numFmtId="167" fontId="1" fillId="0" borderId="37" xfId="0" applyFont="1" applyBorder="1" applyProtection="1">
      <protection locked="0"/>
    </xf>
    <xf numFmtId="167" fontId="1" fillId="0" borderId="10" xfId="0" applyFont="1" applyBorder="1" applyAlignment="1" applyProtection="1">
      <alignment horizontal="center" vertical="center" shrinkToFit="1"/>
      <protection locked="0"/>
    </xf>
    <xf numFmtId="167" fontId="1" fillId="0" borderId="11" xfId="0" applyFont="1" applyBorder="1" applyAlignment="1" applyProtection="1">
      <alignment horizontal="center" vertical="center" shrinkToFit="1"/>
      <protection locked="0"/>
    </xf>
    <xf numFmtId="167" fontId="1" fillId="0" borderId="14" xfId="0" applyFont="1" applyFill="1" applyBorder="1" applyAlignment="1" applyProtection="1">
      <alignment horizontal="center"/>
      <protection locked="0"/>
    </xf>
    <xf numFmtId="167" fontId="1" fillId="0" borderId="22" xfId="0" applyFont="1" applyFill="1" applyBorder="1" applyAlignment="1" applyProtection="1">
      <alignment horizontal="center"/>
      <protection locked="0"/>
    </xf>
    <xf numFmtId="43" fontId="1" fillId="2" borderId="8" xfId="0" applyNumberFormat="1" applyFont="1" applyFill="1" applyBorder="1" applyAlignment="1" applyProtection="1">
      <alignment horizontal="center" shrinkToFit="1"/>
      <protection locked="0"/>
    </xf>
    <xf numFmtId="167" fontId="1" fillId="0" borderId="14" xfId="0" applyFont="1" applyBorder="1" applyAlignment="1" applyProtection="1">
      <alignment horizontal="center"/>
      <protection locked="0"/>
    </xf>
    <xf numFmtId="167" fontId="1" fillId="0" borderId="8" xfId="0" applyFont="1" applyBorder="1" applyAlignment="1" applyProtection="1">
      <alignment horizontal="center"/>
      <protection locked="0"/>
    </xf>
    <xf numFmtId="167" fontId="1" fillId="0" borderId="15" xfId="0" applyFont="1" applyFill="1" applyBorder="1" applyAlignment="1" applyProtection="1">
      <protection locked="0"/>
    </xf>
    <xf numFmtId="167" fontId="1" fillId="0" borderId="40" xfId="0" applyFont="1" applyFill="1" applyBorder="1" applyAlignment="1" applyProtection="1">
      <protection locked="0"/>
    </xf>
    <xf numFmtId="167" fontId="1" fillId="0" borderId="17" xfId="0" applyFont="1" applyFill="1" applyBorder="1" applyAlignment="1" applyProtection="1">
      <protection locked="0"/>
    </xf>
    <xf numFmtId="167" fontId="1" fillId="0" borderId="40" xfId="0" applyFont="1" applyFill="1" applyBorder="1" applyAlignment="1" applyProtection="1">
      <alignment shrinkToFit="1"/>
      <protection locked="0"/>
    </xf>
    <xf numFmtId="167" fontId="1" fillId="0" borderId="18" xfId="0" applyFont="1" applyFill="1" applyBorder="1" applyAlignment="1" applyProtection="1">
      <alignment horizontal="center"/>
      <protection locked="0"/>
    </xf>
    <xf numFmtId="167" fontId="1" fillId="0" borderId="19" xfId="0" applyFont="1" applyBorder="1" applyAlignment="1" applyProtection="1">
      <alignment horizontal="center"/>
      <protection locked="0"/>
    </xf>
    <xf numFmtId="167" fontId="1" fillId="0" borderId="16" xfId="0" applyFont="1" applyFill="1" applyBorder="1" applyAlignment="1" applyProtection="1">
      <alignment horizontal="center"/>
      <protection locked="0"/>
    </xf>
    <xf numFmtId="44" fontId="1" fillId="0" borderId="22" xfId="1" applyFont="1" applyFill="1" applyBorder="1" applyAlignment="1" applyProtection="1">
      <protection locked="0"/>
    </xf>
    <xf numFmtId="167" fontId="1" fillId="0" borderId="16" xfId="0" applyFont="1" applyBorder="1" applyAlignment="1" applyProtection="1">
      <alignment horizontal="center"/>
      <protection locked="0"/>
    </xf>
    <xf numFmtId="167" fontId="1" fillId="0" borderId="22" xfId="0" applyFont="1" applyBorder="1" applyAlignment="1" applyProtection="1">
      <alignment horizontal="center"/>
      <protection locked="0"/>
    </xf>
    <xf numFmtId="166" fontId="4" fillId="0" borderId="21" xfId="0" applyNumberFormat="1" applyFont="1" applyFill="1" applyBorder="1" applyAlignment="1" applyProtection="1">
      <alignment shrinkToFit="1"/>
      <protection locked="0"/>
    </xf>
    <xf numFmtId="165" fontId="4" fillId="0" borderId="24" xfId="0" applyNumberFormat="1" applyFont="1" applyFill="1" applyBorder="1" applyAlignment="1" applyProtection="1">
      <alignment horizontal="center"/>
      <protection locked="0"/>
    </xf>
    <xf numFmtId="167" fontId="1" fillId="0" borderId="25" xfId="0" applyFont="1" applyFill="1" applyBorder="1" applyAlignment="1" applyProtection="1">
      <alignment horizontal="center"/>
      <protection locked="0"/>
    </xf>
    <xf numFmtId="10" fontId="1" fillId="0" borderId="26" xfId="2" applyNumberFormat="1" applyFont="1" applyFill="1" applyBorder="1" applyProtection="1">
      <protection locked="0"/>
    </xf>
    <xf numFmtId="167" fontId="1" fillId="0" borderId="15" xfId="0" applyFont="1" applyFill="1" applyBorder="1" applyAlignment="1" applyProtection="1">
      <alignment horizontal="center"/>
      <protection locked="0"/>
    </xf>
    <xf numFmtId="164" fontId="4" fillId="0" borderId="21" xfId="0" applyNumberFormat="1" applyFont="1" applyFill="1" applyBorder="1" applyAlignment="1" applyProtection="1">
      <alignment shrinkToFit="1"/>
      <protection locked="0"/>
    </xf>
    <xf numFmtId="167" fontId="4" fillId="0" borderId="24" xfId="0" applyFont="1" applyFill="1" applyBorder="1" applyProtection="1">
      <protection locked="0"/>
    </xf>
    <xf numFmtId="167" fontId="1" fillId="0" borderId="23" xfId="0" applyFont="1" applyFill="1" applyBorder="1" applyAlignment="1" applyProtection="1">
      <alignment horizontal="center"/>
      <protection locked="0"/>
    </xf>
    <xf numFmtId="10" fontId="1" fillId="0" borderId="24" xfId="2" applyNumberFormat="1" applyFont="1" applyBorder="1" applyProtection="1">
      <protection locked="0"/>
    </xf>
    <xf numFmtId="44" fontId="1" fillId="0" borderId="22" xfId="1" applyFont="1" applyFill="1" applyBorder="1" applyProtection="1">
      <protection locked="0"/>
    </xf>
    <xf numFmtId="167" fontId="1" fillId="0" borderId="22" xfId="0" applyFont="1" applyBorder="1" applyAlignment="1" applyProtection="1">
      <alignment shrinkToFit="1"/>
      <protection locked="0"/>
    </xf>
    <xf numFmtId="166" fontId="4" fillId="0" borderId="24" xfId="0" applyNumberFormat="1" applyFont="1" applyFill="1" applyBorder="1" applyProtection="1">
      <protection locked="0"/>
    </xf>
    <xf numFmtId="167" fontId="1" fillId="0" borderId="34" xfId="0" applyFont="1" applyFill="1" applyBorder="1" applyAlignment="1" applyProtection="1">
      <alignment horizontal="center"/>
      <protection locked="0"/>
    </xf>
    <xf numFmtId="167" fontId="1" fillId="0" borderId="28" xfId="0" applyFont="1" applyFill="1" applyBorder="1" applyProtection="1">
      <protection locked="0"/>
    </xf>
    <xf numFmtId="167" fontId="1" fillId="0" borderId="38" xfId="0" applyFont="1" applyBorder="1" applyProtection="1">
      <protection locked="0"/>
    </xf>
    <xf numFmtId="167" fontId="1" fillId="0" borderId="29" xfId="0" applyFont="1" applyBorder="1" applyAlignment="1" applyProtection="1">
      <alignment horizontal="center"/>
      <protection locked="0"/>
    </xf>
    <xf numFmtId="167" fontId="4" fillId="0" borderId="21" xfId="1" applyNumberFormat="1" applyFont="1" applyFill="1" applyBorder="1" applyAlignment="1" applyProtection="1">
      <alignment shrinkToFit="1"/>
      <protection locked="0"/>
    </xf>
    <xf numFmtId="167" fontId="1" fillId="0" borderId="0" xfId="0" applyFont="1" applyAlignment="1" applyProtection="1">
      <alignment horizontal="center"/>
      <protection locked="0"/>
    </xf>
    <xf numFmtId="167" fontId="1" fillId="0" borderId="30" xfId="0" applyFont="1" applyBorder="1" applyAlignment="1" applyProtection="1">
      <alignment horizontal="center"/>
      <protection locked="0"/>
    </xf>
    <xf numFmtId="165" fontId="5" fillId="0" borderId="24" xfId="0" applyNumberFormat="1" applyFont="1" applyFill="1" applyBorder="1" applyAlignment="1" applyProtection="1">
      <alignment horizontal="center"/>
      <protection locked="0"/>
    </xf>
    <xf numFmtId="10" fontId="1" fillId="0" borderId="19" xfId="2" applyNumberFormat="1" applyFont="1" applyBorder="1" applyProtection="1">
      <protection locked="0"/>
    </xf>
    <xf numFmtId="44" fontId="4" fillId="0" borderId="0" xfId="1" applyNumberFormat="1" applyFont="1" applyFill="1" applyBorder="1" applyAlignment="1" applyProtection="1">
      <alignment shrinkToFit="1"/>
      <protection locked="0"/>
    </xf>
    <xf numFmtId="167" fontId="1" fillId="0" borderId="0" xfId="0" applyFont="1" applyFill="1" applyProtection="1">
      <protection locked="0"/>
    </xf>
    <xf numFmtId="10" fontId="1" fillId="0" borderId="31" xfId="0" applyNumberFormat="1" applyFont="1" applyBorder="1" applyProtection="1">
      <protection locked="0"/>
    </xf>
    <xf numFmtId="165" fontId="4" fillId="0" borderId="21" xfId="0" applyNumberFormat="1" applyFont="1" applyFill="1" applyBorder="1" applyAlignment="1" applyProtection="1">
      <alignment shrinkToFit="1"/>
      <protection locked="0"/>
    </xf>
    <xf numFmtId="167" fontId="5" fillId="0" borderId="24" xfId="0" applyFont="1" applyFill="1" applyBorder="1" applyAlignment="1" applyProtection="1">
      <alignment horizontal="center"/>
      <protection locked="0"/>
    </xf>
    <xf numFmtId="10" fontId="1" fillId="0" borderId="0" xfId="2" applyNumberFormat="1" applyFont="1" applyBorder="1" applyProtection="1">
      <protection locked="0"/>
    </xf>
    <xf numFmtId="165" fontId="4" fillId="0" borderId="24" xfId="0" applyNumberFormat="1" applyFont="1" applyFill="1" applyBorder="1" applyProtection="1">
      <protection locked="0"/>
    </xf>
    <xf numFmtId="165" fontId="4" fillId="0" borderId="0" xfId="0" applyNumberFormat="1" applyFont="1" applyFill="1" applyBorder="1" applyAlignment="1" applyProtection="1">
      <alignment shrinkToFit="1"/>
      <protection locked="0"/>
    </xf>
    <xf numFmtId="10" fontId="4" fillId="0" borderId="0" xfId="0" applyNumberFormat="1" applyFont="1" applyFill="1" applyBorder="1" applyAlignment="1" applyProtection="1">
      <alignment shrinkToFit="1"/>
      <protection locked="0"/>
    </xf>
    <xf numFmtId="167" fontId="4" fillId="0" borderId="24" xfId="0" applyFont="1" applyFill="1" applyBorder="1" applyAlignment="1" applyProtection="1">
      <alignment horizontal="center"/>
      <protection locked="0"/>
    </xf>
    <xf numFmtId="10" fontId="4" fillId="0" borderId="21" xfId="0" applyNumberFormat="1" applyFont="1" applyFill="1" applyBorder="1" applyAlignment="1" applyProtection="1">
      <alignment horizontal="right" shrinkToFit="1"/>
      <protection locked="0"/>
    </xf>
    <xf numFmtId="165" fontId="4" fillId="0" borderId="27" xfId="0" applyNumberFormat="1" applyFont="1" applyFill="1" applyBorder="1" applyAlignment="1" applyProtection="1">
      <alignment horizontal="right" shrinkToFit="1"/>
      <protection locked="0"/>
    </xf>
    <xf numFmtId="165" fontId="4" fillId="0" borderId="19" xfId="0" applyNumberFormat="1" applyFont="1" applyFill="1" applyBorder="1" applyProtection="1">
      <protection locked="0"/>
    </xf>
    <xf numFmtId="167" fontId="5" fillId="0" borderId="0" xfId="0" applyFont="1" applyFill="1" applyBorder="1" applyAlignment="1" applyProtection="1">
      <alignment horizontal="center"/>
      <protection locked="0"/>
    </xf>
    <xf numFmtId="165" fontId="1" fillId="0" borderId="8" xfId="0" applyNumberFormat="1" applyFont="1" applyFill="1" applyBorder="1" applyAlignment="1" applyProtection="1">
      <alignment shrinkToFit="1"/>
      <protection locked="0"/>
    </xf>
    <xf numFmtId="10" fontId="1" fillId="0" borderId="31" xfId="2" applyNumberFormat="1" applyFont="1" applyFill="1" applyBorder="1" applyAlignment="1" applyProtection="1">
      <alignment horizontal="center"/>
      <protection locked="0"/>
    </xf>
    <xf numFmtId="165" fontId="4" fillId="0" borderId="0" xfId="1" applyNumberFormat="1" applyFont="1" applyFill="1" applyBorder="1" applyAlignment="1" applyProtection="1">
      <alignment shrinkToFit="1"/>
      <protection locked="0"/>
    </xf>
    <xf numFmtId="166" fontId="4" fillId="0" borderId="0" xfId="0" applyNumberFormat="1" applyFont="1" applyFill="1" applyBorder="1" applyAlignment="1" applyProtection="1">
      <alignment shrinkToFit="1"/>
      <protection locked="0"/>
    </xf>
    <xf numFmtId="167" fontId="4" fillId="0" borderId="0" xfId="0" applyFont="1" applyFill="1" applyBorder="1" applyAlignment="1" applyProtection="1">
      <alignment horizontal="center"/>
      <protection locked="0"/>
    </xf>
    <xf numFmtId="167" fontId="1" fillId="0" borderId="0" xfId="0" applyFont="1" applyFill="1" applyBorder="1"/>
    <xf numFmtId="10" fontId="4" fillId="0" borderId="0" xfId="0" applyNumberFormat="1" applyFont="1" applyFill="1" applyBorder="1" applyAlignment="1" applyProtection="1">
      <alignment horizontal="right" shrinkToFit="1"/>
      <protection locked="0"/>
    </xf>
    <xf numFmtId="165" fontId="4" fillId="0" borderId="0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 applyFill="1" applyBorder="1" applyAlignment="1" applyProtection="1">
      <alignment horizontal="right" shrinkToFit="1"/>
      <protection locked="0"/>
    </xf>
    <xf numFmtId="165" fontId="4" fillId="0" borderId="0" xfId="0" applyNumberFormat="1" applyFont="1" applyFill="1" applyBorder="1" applyProtection="1">
      <protection locked="0"/>
    </xf>
    <xf numFmtId="167" fontId="0" fillId="0" borderId="0" xfId="0" applyBorder="1" applyProtection="1"/>
    <xf numFmtId="167" fontId="0" fillId="0" borderId="0" xfId="0" applyFill="1" applyBorder="1" applyProtection="1"/>
    <xf numFmtId="167" fontId="0" fillId="0" borderId="0" xfId="0" applyProtection="1"/>
    <xf numFmtId="167" fontId="0" fillId="0" borderId="0" xfId="0" applyFill="1" applyBorder="1" applyProtection="1">
      <protection locked="0"/>
    </xf>
    <xf numFmtId="167" fontId="0" fillId="0" borderId="0" xfId="0" applyFill="1" applyBorder="1" applyAlignment="1" applyProtection="1"/>
    <xf numFmtId="167" fontId="0" fillId="0" borderId="0" xfId="0" applyFill="1" applyProtection="1"/>
    <xf numFmtId="167" fontId="0" fillId="0" borderId="0" xfId="0" applyFill="1" applyBorder="1" applyAlignment="1" applyProtection="1">
      <alignment horizontal="center"/>
      <protection locked="0"/>
    </xf>
    <xf numFmtId="167" fontId="1" fillId="0" borderId="0" xfId="0" applyFont="1" applyBorder="1" applyProtection="1"/>
    <xf numFmtId="167" fontId="21" fillId="0" borderId="0" xfId="0" applyFont="1" applyBorder="1" applyAlignment="1" applyProtection="1">
      <alignment vertical="center"/>
    </xf>
    <xf numFmtId="167" fontId="0" fillId="4" borderId="0" xfId="0" applyFill="1" applyBorder="1" applyAlignment="1" applyProtection="1">
      <alignment horizontal="left"/>
    </xf>
    <xf numFmtId="167" fontId="0" fillId="4" borderId="0" xfId="0" applyFill="1" applyBorder="1" applyProtection="1"/>
    <xf numFmtId="167" fontId="0" fillId="4" borderId="0" xfId="0" applyFill="1" applyProtection="1"/>
    <xf numFmtId="167" fontId="21" fillId="4" borderId="0" xfId="0" applyFont="1" applyFill="1" applyBorder="1" applyAlignment="1" applyProtection="1">
      <alignment vertical="center"/>
    </xf>
    <xf numFmtId="167" fontId="9" fillId="4" borderId="0" xfId="0" applyFont="1" applyFill="1" applyBorder="1" applyAlignment="1" applyProtection="1">
      <alignment vertical="center"/>
    </xf>
    <xf numFmtId="167" fontId="18" fillId="4" borderId="0" xfId="0" applyFont="1" applyFill="1" applyBorder="1" applyAlignment="1" applyProtection="1">
      <alignment vertical="center" shrinkToFit="1"/>
    </xf>
    <xf numFmtId="167" fontId="1" fillId="4" borderId="0" xfId="0" applyFont="1" applyFill="1" applyBorder="1" applyAlignment="1" applyProtection="1">
      <alignment horizontal="center"/>
    </xf>
    <xf numFmtId="167" fontId="29" fillId="4" borderId="0" xfId="0" applyFont="1" applyFill="1" applyBorder="1" applyProtection="1"/>
    <xf numFmtId="167" fontId="30" fillId="4" borderId="0" xfId="0" applyFont="1" applyFill="1" applyBorder="1" applyAlignment="1" applyProtection="1">
      <alignment vertical="center"/>
    </xf>
    <xf numFmtId="167" fontId="26" fillId="4" borderId="0" xfId="0" applyFont="1" applyFill="1" applyBorder="1" applyAlignment="1" applyProtection="1">
      <alignment vertical="center" shrinkToFit="1"/>
    </xf>
    <xf numFmtId="167" fontId="2" fillId="4" borderId="0" xfId="0" applyFont="1" applyFill="1" applyBorder="1" applyAlignment="1" applyProtection="1"/>
    <xf numFmtId="167" fontId="25" fillId="4" borderId="0" xfId="0" applyFont="1" applyFill="1" applyBorder="1" applyAlignment="1" applyProtection="1">
      <alignment vertical="center"/>
    </xf>
    <xf numFmtId="167" fontId="10" fillId="4" borderId="0" xfId="0" applyFont="1" applyFill="1" applyBorder="1" applyAlignment="1" applyProtection="1">
      <alignment vertical="center" shrinkToFit="1"/>
    </xf>
    <xf numFmtId="167" fontId="22" fillId="4" borderId="0" xfId="0" applyFont="1" applyFill="1" applyBorder="1" applyAlignment="1" applyProtection="1">
      <alignment vertical="center"/>
    </xf>
    <xf numFmtId="167" fontId="6" fillId="4" borderId="0" xfId="0" applyFont="1" applyFill="1" applyBorder="1" applyAlignment="1" applyProtection="1"/>
    <xf numFmtId="167" fontId="2" fillId="4" borderId="0" xfId="0" applyFont="1" applyFill="1" applyBorder="1" applyAlignment="1" applyProtection="1">
      <alignment horizontal="left"/>
    </xf>
    <xf numFmtId="167" fontId="2" fillId="4" borderId="0" xfId="0" applyFont="1" applyFill="1" applyBorder="1" applyProtection="1"/>
    <xf numFmtId="167" fontId="23" fillId="4" borderId="0" xfId="0" applyFont="1" applyFill="1" applyBorder="1" applyAlignment="1" applyProtection="1">
      <alignment horizontal="center" vertical="center"/>
    </xf>
    <xf numFmtId="167" fontId="11" fillId="4" borderId="0" xfId="0" applyFont="1" applyFill="1" applyBorder="1" applyAlignment="1" applyProtection="1"/>
    <xf numFmtId="10" fontId="23" fillId="4" borderId="0" xfId="2" applyNumberFormat="1" applyFont="1" applyFill="1" applyBorder="1" applyAlignment="1" applyProtection="1">
      <alignment vertical="center" shrinkToFit="1"/>
    </xf>
    <xf numFmtId="167" fontId="3" fillId="4" borderId="0" xfId="0" applyFont="1" applyFill="1" applyBorder="1" applyAlignment="1" applyProtection="1"/>
    <xf numFmtId="167" fontId="24" fillId="4" borderId="0" xfId="0" applyFont="1" applyFill="1" applyBorder="1" applyAlignment="1" applyProtection="1">
      <alignment vertical="center"/>
    </xf>
    <xf numFmtId="167" fontId="28" fillId="4" borderId="0" xfId="0" applyFont="1" applyFill="1" applyBorder="1" applyAlignment="1" applyProtection="1">
      <alignment vertical="center"/>
    </xf>
    <xf numFmtId="167" fontId="20" fillId="4" borderId="0" xfId="15" applyFont="1" applyFill="1" applyBorder="1" applyAlignment="1" applyProtection="1">
      <alignment vertical="top"/>
      <protection locked="0"/>
    </xf>
    <xf numFmtId="167" fontId="2" fillId="4" borderId="0" xfId="0" applyFont="1" applyFill="1" applyProtection="1"/>
    <xf numFmtId="167" fontId="1" fillId="0" borderId="0" xfId="0" applyFont="1" applyFill="1" applyBorder="1" applyAlignment="1" applyProtection="1">
      <alignment horizontal="center"/>
      <protection locked="0"/>
    </xf>
    <xf numFmtId="167" fontId="10" fillId="4" borderId="0" xfId="0" applyFont="1" applyFill="1" applyBorder="1" applyAlignment="1" applyProtection="1">
      <alignment vertical="center"/>
    </xf>
    <xf numFmtId="167" fontId="18" fillId="4" borderId="0" xfId="0" applyFont="1" applyFill="1" applyBorder="1" applyAlignment="1" applyProtection="1">
      <alignment horizontal="center" vertical="center" wrapText="1"/>
    </xf>
    <xf numFmtId="167" fontId="34" fillId="4" borderId="0" xfId="0" applyFont="1" applyFill="1" applyBorder="1" applyAlignment="1" applyProtection="1">
      <alignment horizontal="right" vertical="center"/>
    </xf>
    <xf numFmtId="167" fontId="13" fillId="4" borderId="0" xfId="15" applyFill="1" applyBorder="1" applyAlignment="1" applyProtection="1">
      <alignment horizontal="left" vertical="center"/>
    </xf>
    <xf numFmtId="167" fontId="2" fillId="4" borderId="0" xfId="0" applyFont="1" applyFill="1" applyBorder="1" applyAlignment="1" applyProtection="1">
      <alignment horizontal="right" vertical="top"/>
    </xf>
    <xf numFmtId="10" fontId="1" fillId="0" borderId="0" xfId="2" applyNumberFormat="1" applyFont="1" applyFill="1" applyBorder="1" applyAlignment="1" applyProtection="1">
      <alignment horizontal="right"/>
      <protection locked="0"/>
    </xf>
    <xf numFmtId="167" fontId="1" fillId="0" borderId="0" xfId="0" applyFont="1" applyFill="1" applyBorder="1" applyAlignment="1" applyProtection="1">
      <protection locked="0"/>
    </xf>
    <xf numFmtId="167" fontId="1" fillId="0" borderId="0" xfId="0" applyFont="1" applyFill="1" applyBorder="1" applyAlignment="1" applyProtection="1">
      <alignment horizontal="center"/>
    </xf>
    <xf numFmtId="10" fontId="0" fillId="0" borderId="0" xfId="2" applyNumberFormat="1" applyFont="1" applyFill="1" applyBorder="1" applyAlignment="1" applyProtection="1">
      <alignment horizontal="right"/>
      <protection locked="0"/>
    </xf>
    <xf numFmtId="10" fontId="1" fillId="0" borderId="0" xfId="2" applyNumberFormat="1" applyFont="1" applyFill="1" applyBorder="1" applyAlignment="1" applyProtection="1">
      <alignment horizontal="center"/>
      <protection locked="0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1" fillId="0" borderId="0" xfId="2" applyNumberFormat="1" applyFont="1" applyFill="1" applyBorder="1" applyAlignment="1" applyProtection="1">
      <alignment horizontal="right"/>
    </xf>
    <xf numFmtId="167" fontId="0" fillId="0" borderId="0" xfId="0" applyFill="1" applyBorder="1" applyAlignment="1" applyProtection="1">
      <alignment horizontal="center"/>
    </xf>
    <xf numFmtId="10" fontId="0" fillId="0" borderId="0" xfId="2" applyNumberFormat="1" applyFont="1" applyFill="1" applyBorder="1" applyAlignment="1" applyProtection="1">
      <alignment horizontal="right"/>
    </xf>
    <xf numFmtId="10" fontId="1" fillId="0" borderId="0" xfId="2" applyNumberFormat="1" applyFont="1" applyFill="1" applyBorder="1" applyAlignment="1" applyProtection="1"/>
    <xf numFmtId="167" fontId="1" fillId="0" borderId="0" xfId="0" applyFont="1" applyFill="1" applyBorder="1" applyAlignment="1" applyProtection="1"/>
    <xf numFmtId="10" fontId="1" fillId="0" borderId="0" xfId="2" applyNumberFormat="1" applyFont="1" applyFill="1" applyBorder="1" applyAlignment="1" applyProtection="1">
      <alignment horizontal="center"/>
    </xf>
    <xf numFmtId="10" fontId="0" fillId="0" borderId="0" xfId="2" applyNumberFormat="1" applyFont="1" applyFill="1" applyBorder="1" applyAlignment="1" applyProtection="1">
      <alignment horizontal="center"/>
    </xf>
    <xf numFmtId="10" fontId="0" fillId="0" borderId="0" xfId="2" applyNumberFormat="1" applyFont="1" applyFill="1" applyBorder="1" applyAlignment="1" applyProtection="1">
      <alignment horizontal="center" shrinkToFit="1"/>
    </xf>
    <xf numFmtId="167" fontId="1" fillId="0" borderId="0" xfId="0" applyFont="1" applyFill="1" applyBorder="1" applyProtection="1"/>
    <xf numFmtId="167" fontId="10" fillId="4" borderId="0" xfId="0" applyFont="1" applyFill="1" applyBorder="1" applyAlignment="1" applyProtection="1">
      <alignment horizontal="center" vertical="center"/>
    </xf>
    <xf numFmtId="167" fontId="18" fillId="4" borderId="0" xfId="0" applyFont="1" applyFill="1" applyBorder="1" applyAlignment="1" applyProtection="1">
      <alignment vertical="center" wrapText="1"/>
    </xf>
    <xf numFmtId="167" fontId="18" fillId="4" borderId="0" xfId="0" applyFont="1" applyFill="1" applyBorder="1" applyAlignment="1" applyProtection="1">
      <alignment vertical="center"/>
    </xf>
    <xf numFmtId="167" fontId="18" fillId="4" borderId="0" xfId="0" applyFont="1" applyFill="1" applyBorder="1" applyAlignment="1" applyProtection="1">
      <alignment horizontal="left" vertical="center"/>
    </xf>
    <xf numFmtId="167" fontId="15" fillId="4" borderId="0" xfId="0" applyFont="1" applyFill="1" applyBorder="1" applyAlignment="1" applyProtection="1">
      <alignment shrinkToFit="1"/>
    </xf>
    <xf numFmtId="167" fontId="2" fillId="4" borderId="0" xfId="0" applyFont="1" applyFill="1" applyBorder="1" applyAlignment="1" applyProtection="1">
      <alignment vertical="center" shrinkToFit="1"/>
      <protection locked="0"/>
    </xf>
    <xf numFmtId="167" fontId="13" fillId="4" borderId="0" xfId="15" applyFill="1" applyBorder="1" applyAlignment="1" applyProtection="1">
      <alignment horizontal="left" vertical="center"/>
    </xf>
    <xf numFmtId="167" fontId="13" fillId="4" borderId="0" xfId="15" applyFill="1" applyBorder="1" applyAlignment="1" applyProtection="1">
      <alignment horizontal="left" vertical="center"/>
    </xf>
    <xf numFmtId="167" fontId="18" fillId="4" borderId="0" xfId="0" applyFont="1" applyFill="1" applyBorder="1" applyAlignment="1" applyProtection="1">
      <alignment horizontal="center" vertical="center" wrapText="1"/>
    </xf>
    <xf numFmtId="167" fontId="0" fillId="0" borderId="0" xfId="0" applyFill="1" applyBorder="1" applyAlignment="1" applyProtection="1">
      <alignment horizontal="center"/>
      <protection locked="0"/>
    </xf>
    <xf numFmtId="167" fontId="34" fillId="4" borderId="0" xfId="0" applyFont="1" applyFill="1" applyBorder="1" applyAlignment="1" applyProtection="1">
      <alignment horizontal="right" vertical="center"/>
    </xf>
    <xf numFmtId="167" fontId="13" fillId="4" borderId="0" xfId="15" applyFill="1" applyBorder="1" applyAlignment="1" applyProtection="1">
      <alignment horizontal="left" vertical="center"/>
    </xf>
    <xf numFmtId="167" fontId="2" fillId="4" borderId="0" xfId="0" applyFont="1" applyFill="1" applyBorder="1" applyAlignment="1" applyProtection="1">
      <alignment horizontal="right" vertical="top"/>
    </xf>
    <xf numFmtId="167" fontId="18" fillId="4" borderId="0" xfId="0" applyFont="1" applyFill="1" applyBorder="1" applyAlignment="1" applyProtection="1">
      <alignment horizontal="left" vertical="center"/>
    </xf>
    <xf numFmtId="167" fontId="3" fillId="0" borderId="1" xfId="0" applyFont="1" applyFill="1" applyBorder="1" applyAlignment="1" applyProtection="1">
      <alignment horizontal="center"/>
      <protection locked="0"/>
    </xf>
    <xf numFmtId="167" fontId="3" fillId="0" borderId="2" xfId="0" applyFont="1" applyFill="1" applyBorder="1" applyAlignment="1" applyProtection="1">
      <alignment horizontal="center"/>
      <protection locked="0"/>
    </xf>
    <xf numFmtId="167" fontId="3" fillId="0" borderId="3" xfId="0" applyFont="1" applyFill="1" applyBorder="1" applyAlignment="1" applyProtection="1">
      <alignment horizontal="center"/>
      <protection locked="0"/>
    </xf>
    <xf numFmtId="167" fontId="1" fillId="0" borderId="1" xfId="0" applyFont="1" applyBorder="1" applyAlignment="1" applyProtection="1">
      <alignment horizontal="center"/>
      <protection locked="0"/>
    </xf>
    <xf numFmtId="167" fontId="1" fillId="0" borderId="3" xfId="0" applyFont="1" applyBorder="1" applyAlignment="1" applyProtection="1">
      <alignment horizontal="center"/>
      <protection locked="0"/>
    </xf>
    <xf numFmtId="167" fontId="1" fillId="0" borderId="5" xfId="0" applyFont="1" applyBorder="1" applyAlignment="1" applyProtection="1">
      <alignment horizontal="center"/>
      <protection locked="0"/>
    </xf>
    <xf numFmtId="167" fontId="1" fillId="0" borderId="36" xfId="0" applyFont="1" applyBorder="1" applyAlignment="1" applyProtection="1">
      <alignment horizontal="center"/>
      <protection locked="0"/>
    </xf>
    <xf numFmtId="167" fontId="2" fillId="0" borderId="4" xfId="0" applyFont="1" applyBorder="1" applyAlignment="1" applyProtection="1">
      <alignment horizontal="center" vertical="center" shrinkToFit="1"/>
      <protection locked="0"/>
    </xf>
    <xf numFmtId="167" fontId="2" fillId="0" borderId="39" xfId="0" applyFont="1" applyBorder="1" applyAlignment="1" applyProtection="1">
      <alignment horizontal="center" vertical="center" shrinkToFit="1"/>
      <protection locked="0"/>
    </xf>
    <xf numFmtId="167" fontId="2" fillId="0" borderId="30" xfId="0" applyFont="1" applyBorder="1" applyAlignment="1" applyProtection="1">
      <alignment horizontal="center" vertical="center" shrinkToFit="1"/>
      <protection locked="0"/>
    </xf>
    <xf numFmtId="167" fontId="2" fillId="0" borderId="1" xfId="0" applyFont="1" applyBorder="1" applyAlignment="1" applyProtection="1">
      <alignment horizontal="center" vertical="center" shrinkToFit="1"/>
      <protection locked="0"/>
    </xf>
    <xf numFmtId="167" fontId="2" fillId="0" borderId="2" xfId="0" applyFont="1" applyBorder="1" applyAlignment="1" applyProtection="1">
      <alignment horizontal="center" vertical="center" shrinkToFit="1"/>
      <protection locked="0"/>
    </xf>
    <xf numFmtId="167" fontId="2" fillId="0" borderId="3" xfId="0" applyFont="1" applyBorder="1" applyAlignment="1" applyProtection="1">
      <alignment horizontal="center" vertical="center" shrinkToFit="1"/>
      <protection locked="0"/>
    </xf>
    <xf numFmtId="167" fontId="12" fillId="4" borderId="0" xfId="0" applyFont="1" applyFill="1" applyAlignment="1" applyProtection="1">
      <alignment horizontal="center" wrapText="1"/>
    </xf>
    <xf numFmtId="167" fontId="18" fillId="4" borderId="0" xfId="0" applyFont="1" applyFill="1" applyBorder="1" applyAlignment="1" applyProtection="1">
      <alignment horizontal="left" vertical="center"/>
    </xf>
    <xf numFmtId="44" fontId="16" fillId="4" borderId="48" xfId="1" applyFont="1" applyFill="1" applyBorder="1" applyAlignment="1" applyProtection="1">
      <alignment horizontal="center" vertical="center" shrinkToFit="1"/>
      <protection locked="0"/>
    </xf>
    <xf numFmtId="44" fontId="16" fillId="4" borderId="49" xfId="1" applyFont="1" applyFill="1" applyBorder="1" applyAlignment="1" applyProtection="1">
      <alignment horizontal="center" vertical="center" shrinkToFit="1"/>
      <protection locked="0"/>
    </xf>
    <xf numFmtId="44" fontId="16" fillId="4" borderId="50" xfId="1" applyFont="1" applyFill="1" applyBorder="1" applyAlignment="1" applyProtection="1">
      <alignment horizontal="center" vertical="center" shrinkToFit="1"/>
      <protection locked="0"/>
    </xf>
    <xf numFmtId="44" fontId="16" fillId="4" borderId="51" xfId="1" applyFont="1" applyFill="1" applyBorder="1" applyAlignment="1" applyProtection="1">
      <alignment horizontal="center" vertical="center" shrinkToFit="1"/>
      <protection locked="0"/>
    </xf>
    <xf numFmtId="44" fontId="16" fillId="4" borderId="0" xfId="1" applyFont="1" applyFill="1" applyBorder="1" applyAlignment="1" applyProtection="1">
      <alignment horizontal="center" vertical="center" shrinkToFit="1"/>
      <protection locked="0"/>
    </xf>
    <xf numFmtId="44" fontId="16" fillId="4" borderId="52" xfId="1" applyFont="1" applyFill="1" applyBorder="1" applyAlignment="1" applyProtection="1">
      <alignment horizontal="center" vertical="center" shrinkToFit="1"/>
      <protection locked="0"/>
    </xf>
    <xf numFmtId="44" fontId="16" fillId="4" borderId="53" xfId="1" applyFont="1" applyFill="1" applyBorder="1" applyAlignment="1" applyProtection="1">
      <alignment horizontal="center" vertical="center" shrinkToFit="1"/>
      <protection locked="0"/>
    </xf>
    <xf numFmtId="44" fontId="16" fillId="4" borderId="54" xfId="1" applyFont="1" applyFill="1" applyBorder="1" applyAlignment="1" applyProtection="1">
      <alignment horizontal="center" vertical="center" shrinkToFit="1"/>
      <protection locked="0"/>
    </xf>
    <xf numFmtId="44" fontId="16" fillId="4" borderId="55" xfId="1" applyFont="1" applyFill="1" applyBorder="1" applyAlignment="1" applyProtection="1">
      <alignment horizontal="center" vertical="center" shrinkToFit="1"/>
      <protection locked="0"/>
    </xf>
    <xf numFmtId="44" fontId="17" fillId="4" borderId="56" xfId="1" applyFont="1" applyFill="1" applyBorder="1" applyAlignment="1" applyProtection="1">
      <alignment horizontal="center" vertical="center" shrinkToFit="1"/>
      <protection locked="0"/>
    </xf>
    <xf numFmtId="44" fontId="17" fillId="4" borderId="57" xfId="1" applyFont="1" applyFill="1" applyBorder="1" applyAlignment="1" applyProtection="1">
      <alignment horizontal="center" vertical="center" shrinkToFit="1"/>
      <protection locked="0"/>
    </xf>
    <xf numFmtId="44" fontId="17" fillId="4" borderId="58" xfId="1" applyFont="1" applyFill="1" applyBorder="1" applyAlignment="1" applyProtection="1">
      <alignment horizontal="center" vertical="center" shrinkToFit="1"/>
      <protection locked="0"/>
    </xf>
    <xf numFmtId="167" fontId="33" fillId="4" borderId="0" xfId="0" applyFont="1" applyFill="1" applyBorder="1" applyAlignment="1" applyProtection="1">
      <alignment horizontal="center" vertical="center" wrapText="1"/>
    </xf>
    <xf numFmtId="167" fontId="33" fillId="4" borderId="0" xfId="0" applyFont="1" applyFill="1" applyBorder="1" applyAlignment="1" applyProtection="1">
      <alignment horizontal="center" vertical="center"/>
    </xf>
    <xf numFmtId="44" fontId="18" fillId="4" borderId="48" xfId="1" applyFont="1" applyFill="1" applyBorder="1" applyAlignment="1" applyProtection="1">
      <alignment horizontal="left" vertical="center"/>
    </xf>
    <xf numFmtId="44" fontId="18" fillId="4" borderId="49" xfId="1" applyFont="1" applyFill="1" applyBorder="1" applyAlignment="1" applyProtection="1">
      <alignment horizontal="left" vertical="center"/>
    </xf>
    <xf numFmtId="44" fontId="18" fillId="4" borderId="51" xfId="1" applyFont="1" applyFill="1" applyBorder="1" applyAlignment="1" applyProtection="1">
      <alignment horizontal="left" vertical="center"/>
    </xf>
    <xf numFmtId="44" fontId="18" fillId="4" borderId="0" xfId="1" applyFont="1" applyFill="1" applyBorder="1" applyAlignment="1" applyProtection="1">
      <alignment horizontal="left" vertical="center"/>
    </xf>
    <xf numFmtId="42" fontId="18" fillId="4" borderId="49" xfId="1" applyNumberFormat="1" applyFont="1" applyFill="1" applyBorder="1" applyAlignment="1" applyProtection="1">
      <alignment horizontal="left" vertical="center"/>
    </xf>
    <xf numFmtId="42" fontId="18" fillId="4" borderId="50" xfId="1" applyNumberFormat="1" applyFont="1" applyFill="1" applyBorder="1" applyAlignment="1" applyProtection="1">
      <alignment horizontal="left" vertical="center"/>
    </xf>
    <xf numFmtId="42" fontId="18" fillId="4" borderId="0" xfId="1" applyNumberFormat="1" applyFont="1" applyFill="1" applyBorder="1" applyAlignment="1" applyProtection="1">
      <alignment horizontal="left" vertical="center"/>
    </xf>
    <xf numFmtId="42" fontId="18" fillId="4" borderId="52" xfId="1" applyNumberFormat="1" applyFont="1" applyFill="1" applyBorder="1" applyAlignment="1" applyProtection="1">
      <alignment horizontal="left" vertical="center"/>
    </xf>
    <xf numFmtId="167" fontId="27" fillId="4" borderId="43" xfId="0" applyFont="1" applyFill="1" applyBorder="1" applyAlignment="1" applyProtection="1">
      <alignment horizontal="left" vertical="center" indent="1"/>
    </xf>
    <xf numFmtId="167" fontId="27" fillId="4" borderId="41" xfId="0" applyFont="1" applyFill="1" applyBorder="1" applyAlignment="1" applyProtection="1">
      <alignment horizontal="left" vertical="center" indent="1"/>
    </xf>
    <xf numFmtId="167" fontId="27" fillId="4" borderId="45" xfId="0" applyFont="1" applyFill="1" applyBorder="1" applyAlignment="1" applyProtection="1">
      <alignment horizontal="left" vertical="center" indent="1"/>
    </xf>
    <xf numFmtId="167" fontId="27" fillId="4" borderId="40" xfId="0" applyFont="1" applyFill="1" applyBorder="1" applyAlignment="1" applyProtection="1">
      <alignment horizontal="left" vertical="center" indent="1"/>
    </xf>
    <xf numFmtId="165" fontId="27" fillId="4" borderId="47" xfId="1" applyNumberFormat="1" applyFont="1" applyFill="1" applyBorder="1" applyAlignment="1" applyProtection="1">
      <alignment horizontal="center" vertical="center"/>
    </xf>
    <xf numFmtId="165" fontId="27" fillId="4" borderId="42" xfId="1" applyNumberFormat="1" applyFont="1" applyFill="1" applyBorder="1" applyAlignment="1" applyProtection="1">
      <alignment horizontal="center" vertical="center"/>
    </xf>
    <xf numFmtId="10" fontId="27" fillId="4" borderId="44" xfId="2" applyNumberFormat="1" applyFont="1" applyFill="1" applyBorder="1" applyAlignment="1" applyProtection="1">
      <alignment horizontal="center" vertical="center" shrinkToFit="1"/>
    </xf>
    <xf numFmtId="10" fontId="27" fillId="4" borderId="46" xfId="2" applyNumberFormat="1" applyFont="1" applyFill="1" applyBorder="1" applyAlignment="1" applyProtection="1">
      <alignment horizontal="center" vertical="center" shrinkToFit="1"/>
    </xf>
    <xf numFmtId="44" fontId="18" fillId="4" borderId="53" xfId="1" applyFont="1" applyFill="1" applyBorder="1" applyAlignment="1" applyProtection="1">
      <alignment horizontal="left" vertical="center"/>
    </xf>
    <xf numFmtId="44" fontId="18" fillId="4" borderId="54" xfId="1" applyFont="1" applyFill="1" applyBorder="1" applyAlignment="1" applyProtection="1">
      <alignment horizontal="left" vertical="center"/>
    </xf>
    <xf numFmtId="44" fontId="18" fillId="4" borderId="52" xfId="1" applyFont="1" applyFill="1" applyBorder="1" applyAlignment="1" applyProtection="1">
      <alignment horizontal="left" vertical="center"/>
    </xf>
    <xf numFmtId="44" fontId="18" fillId="4" borderId="55" xfId="1" applyFont="1" applyFill="1" applyBorder="1" applyAlignment="1" applyProtection="1">
      <alignment horizontal="left" vertical="center"/>
    </xf>
    <xf numFmtId="167" fontId="35" fillId="4" borderId="0" xfId="0" applyFont="1" applyFill="1" applyBorder="1" applyAlignment="1" applyProtection="1">
      <alignment horizontal="right" vertical="center" shrinkToFit="1"/>
    </xf>
    <xf numFmtId="167" fontId="35" fillId="4" borderId="40" xfId="0" applyFont="1" applyFill="1" applyBorder="1" applyAlignment="1" applyProtection="1">
      <alignment horizontal="right" vertical="center" shrinkToFit="1"/>
    </xf>
    <xf numFmtId="167" fontId="13" fillId="4" borderId="0" xfId="15" applyFill="1" applyBorder="1" applyAlignment="1" applyProtection="1">
      <alignment horizontal="left" vertical="center" shrinkToFit="1"/>
      <protection locked="0"/>
    </xf>
    <xf numFmtId="167" fontId="13" fillId="4" borderId="40" xfId="15" applyFill="1" applyBorder="1" applyAlignment="1" applyProtection="1">
      <alignment horizontal="left" vertical="center" shrinkToFit="1"/>
      <protection locked="0"/>
    </xf>
    <xf numFmtId="167" fontId="13" fillId="4" borderId="0" xfId="15" applyFill="1" applyBorder="1" applyAlignment="1" applyProtection="1">
      <alignment horizontal="left" vertical="center"/>
    </xf>
    <xf numFmtId="167" fontId="2" fillId="4" borderId="0" xfId="0" applyFont="1" applyFill="1" applyBorder="1" applyAlignment="1" applyProtection="1">
      <alignment horizontal="right" vertical="top"/>
    </xf>
    <xf numFmtId="167" fontId="27" fillId="4" borderId="0" xfId="0" applyFont="1" applyFill="1" applyBorder="1" applyAlignment="1" applyProtection="1">
      <alignment horizontal="center" vertical="center"/>
    </xf>
    <xf numFmtId="167" fontId="27" fillId="4" borderId="21" xfId="0" applyFont="1" applyFill="1" applyBorder="1" applyAlignment="1" applyProtection="1">
      <alignment horizontal="left" vertical="center" indent="1"/>
    </xf>
    <xf numFmtId="165" fontId="27" fillId="4" borderId="21" xfId="1" applyNumberFormat="1" applyFont="1" applyFill="1" applyBorder="1" applyAlignment="1" applyProtection="1">
      <alignment horizontal="center" vertical="center"/>
    </xf>
    <xf numFmtId="167" fontId="31" fillId="4" borderId="21" xfId="0" applyFont="1" applyFill="1" applyBorder="1" applyAlignment="1" applyProtection="1">
      <alignment horizontal="left" vertical="center" indent="1"/>
    </xf>
    <xf numFmtId="10" fontId="27" fillId="4" borderId="21" xfId="2" applyNumberFormat="1" applyFont="1" applyFill="1" applyBorder="1" applyAlignment="1" applyProtection="1">
      <alignment horizontal="center" vertical="center"/>
    </xf>
    <xf numFmtId="165" fontId="27" fillId="4" borderId="21" xfId="0" applyNumberFormat="1" applyFont="1" applyFill="1" applyBorder="1" applyAlignment="1" applyProtection="1">
      <alignment horizontal="center" vertical="center"/>
    </xf>
    <xf numFmtId="167" fontId="2" fillId="4" borderId="0" xfId="0" applyFont="1" applyFill="1" applyBorder="1" applyAlignment="1" applyProtection="1">
      <alignment horizontal="center" vertical="top" wrapText="1"/>
    </xf>
    <xf numFmtId="167" fontId="2" fillId="4" borderId="0" xfId="0" applyFont="1" applyFill="1" applyBorder="1" applyAlignment="1" applyProtection="1">
      <alignment horizontal="center" vertical="top"/>
    </xf>
    <xf numFmtId="167" fontId="27" fillId="4" borderId="21" xfId="0" applyFont="1" applyFill="1" applyBorder="1" applyAlignment="1" applyProtection="1">
      <alignment horizontal="center" vertical="center" shrinkToFit="1"/>
    </xf>
    <xf numFmtId="167" fontId="2" fillId="4" borderId="0" xfId="0" applyFont="1" applyFill="1" applyBorder="1" applyAlignment="1" applyProtection="1">
      <alignment horizontal="center" vertical="center" shrinkToFit="1"/>
    </xf>
    <xf numFmtId="167" fontId="34" fillId="4" borderId="0" xfId="0" applyFont="1" applyFill="1" applyBorder="1" applyAlignment="1" applyProtection="1">
      <alignment horizontal="right" vertical="center"/>
    </xf>
    <xf numFmtId="167" fontId="1" fillId="0" borderId="0" xfId="0" applyFont="1" applyFill="1" applyBorder="1" applyAlignment="1" applyProtection="1">
      <alignment horizontal="center" vertical="center"/>
    </xf>
    <xf numFmtId="167" fontId="1" fillId="4" borderId="0" xfId="0" applyFont="1" applyFill="1" applyBorder="1" applyProtection="1"/>
    <xf numFmtId="167" fontId="1" fillId="4" borderId="0" xfId="0" applyFont="1" applyFill="1" applyProtection="1"/>
    <xf numFmtId="167" fontId="1" fillId="0" borderId="0" xfId="0" applyFont="1" applyProtection="1"/>
    <xf numFmtId="167" fontId="38" fillId="4" borderId="0" xfId="0" applyFont="1" applyFill="1" applyBorder="1" applyAlignment="1" applyProtection="1">
      <alignment horizontal="left"/>
    </xf>
    <xf numFmtId="167" fontId="38" fillId="4" borderId="0" xfId="0" applyFont="1" applyFill="1" applyBorder="1" applyAlignment="1" applyProtection="1"/>
    <xf numFmtId="167" fontId="29" fillId="4" borderId="0" xfId="0" applyFont="1" applyFill="1" applyProtection="1"/>
    <xf numFmtId="167" fontId="38" fillId="4" borderId="0" xfId="0" applyFont="1" applyFill="1" applyProtection="1"/>
    <xf numFmtId="167" fontId="29" fillId="0" borderId="0" xfId="0" applyFont="1" applyProtection="1"/>
    <xf numFmtId="167" fontId="29" fillId="0" borderId="0" xfId="0" applyFont="1" applyBorder="1" applyProtection="1">
      <protection locked="0"/>
    </xf>
    <xf numFmtId="167" fontId="29" fillId="0" borderId="0" xfId="0" applyFont="1" applyProtection="1">
      <protection locked="0"/>
    </xf>
    <xf numFmtId="167" fontId="38" fillId="0" borderId="0" xfId="0" applyFont="1" applyFill="1" applyBorder="1" applyAlignment="1" applyProtection="1">
      <protection locked="0"/>
    </xf>
    <xf numFmtId="167" fontId="29" fillId="0" borderId="0" xfId="0" applyFont="1" applyFill="1" applyBorder="1" applyProtection="1">
      <protection locked="0"/>
    </xf>
    <xf numFmtId="167" fontId="29" fillId="4" borderId="0" xfId="0" applyFont="1" applyFill="1" applyBorder="1" applyProtection="1">
      <protection locked="0"/>
    </xf>
    <xf numFmtId="167" fontId="29" fillId="4" borderId="0" xfId="0" applyFont="1" applyFill="1" applyBorder="1" applyAlignment="1" applyProtection="1">
      <protection locked="0"/>
    </xf>
    <xf numFmtId="167" fontId="39" fillId="4" borderId="0" xfId="0" applyFont="1" applyFill="1" applyBorder="1" applyAlignment="1" applyProtection="1">
      <alignment horizontal="center"/>
      <protection locked="0"/>
    </xf>
    <xf numFmtId="44" fontId="40" fillId="4" borderId="0" xfId="1" applyFont="1" applyFill="1" applyBorder="1" applyAlignment="1" applyProtection="1">
      <alignment horizontal="center" vertical="center" shrinkToFit="1"/>
      <protection locked="0"/>
    </xf>
    <xf numFmtId="167" fontId="38" fillId="4" borderId="0" xfId="0" applyFont="1" applyFill="1" applyBorder="1" applyAlignment="1" applyProtection="1">
      <protection locked="0"/>
    </xf>
    <xf numFmtId="167" fontId="38" fillId="4" borderId="0" xfId="0" applyFont="1" applyFill="1" applyBorder="1" applyAlignment="1" applyProtection="1">
      <alignment horizontal="center" vertical="center"/>
      <protection locked="0"/>
    </xf>
    <xf numFmtId="167" fontId="38" fillId="4" borderId="0" xfId="0" applyFont="1" applyFill="1" applyBorder="1" applyAlignment="1" applyProtection="1">
      <alignment horizontal="center"/>
      <protection locked="0"/>
    </xf>
    <xf numFmtId="10" fontId="38" fillId="4" borderId="0" xfId="2" applyNumberFormat="1" applyFont="1" applyFill="1" applyBorder="1" applyAlignment="1" applyProtection="1">
      <protection locked="0"/>
    </xf>
    <xf numFmtId="0" fontId="41" fillId="4" borderId="0" xfId="8" applyNumberFormat="1" applyFont="1" applyFill="1" applyBorder="1" applyAlignment="1" applyProtection="1">
      <alignment horizontal="center" vertical="center"/>
      <protection locked="0"/>
    </xf>
    <xf numFmtId="0" fontId="29" fillId="4" borderId="0" xfId="0" applyNumberFormat="1" applyFont="1" applyFill="1" applyBorder="1" applyAlignment="1" applyProtection="1">
      <alignment horizontal="center" vertical="center" shrinkToFit="1"/>
      <protection locked="0"/>
    </xf>
    <xf numFmtId="10" fontId="29" fillId="4" borderId="0" xfId="2" applyNumberFormat="1" applyFont="1" applyFill="1" applyBorder="1" applyAlignment="1" applyProtection="1">
      <alignment shrinkToFit="1"/>
      <protection locked="0"/>
    </xf>
    <xf numFmtId="167" fontId="29" fillId="4" borderId="0" xfId="0" applyFont="1" applyFill="1" applyBorder="1" applyAlignment="1" applyProtection="1">
      <alignment horizontal="center"/>
      <protection locked="0"/>
    </xf>
    <xf numFmtId="167" fontId="39" fillId="4" borderId="0" xfId="0" applyFont="1" applyFill="1" applyBorder="1" applyAlignment="1" applyProtection="1">
      <protection locked="0"/>
    </xf>
    <xf numFmtId="167" fontId="39" fillId="4" borderId="0" xfId="0" applyFont="1" applyFill="1" applyBorder="1" applyAlignment="1" applyProtection="1">
      <alignment horizontal="center"/>
      <protection locked="0"/>
    </xf>
    <xf numFmtId="0" fontId="29" fillId="4" borderId="0" xfId="2" applyNumberFormat="1" applyFont="1" applyFill="1" applyBorder="1" applyAlignment="1" applyProtection="1">
      <alignment horizontal="center"/>
      <protection locked="0"/>
    </xf>
    <xf numFmtId="167" fontId="39" fillId="4" borderId="0" xfId="0" applyFont="1" applyFill="1" applyBorder="1" applyProtection="1">
      <protection locked="0"/>
    </xf>
    <xf numFmtId="167" fontId="29" fillId="4" borderId="0" xfId="0" applyFont="1" applyFill="1" applyBorder="1" applyAlignment="1" applyProtection="1">
      <alignment horizontal="center"/>
      <protection locked="0"/>
    </xf>
    <xf numFmtId="167" fontId="29" fillId="4" borderId="0" xfId="0" applyFont="1" applyFill="1" applyBorder="1" applyAlignment="1" applyProtection="1">
      <alignment horizontal="center" shrinkToFit="1"/>
      <protection locked="0"/>
    </xf>
    <xf numFmtId="167" fontId="29" fillId="4" borderId="0" xfId="0" applyFont="1" applyFill="1" applyBorder="1" applyAlignment="1" applyProtection="1">
      <alignment horizontal="center" vertical="center"/>
      <protection locked="0"/>
    </xf>
    <xf numFmtId="10" fontId="29" fillId="4" borderId="0" xfId="2" applyNumberFormat="1" applyFont="1" applyFill="1" applyBorder="1" applyProtection="1">
      <protection locked="0"/>
    </xf>
    <xf numFmtId="167" fontId="38" fillId="4" borderId="0" xfId="0" applyFont="1" applyFill="1" applyBorder="1" applyProtection="1">
      <protection locked="0"/>
    </xf>
    <xf numFmtId="10" fontId="38" fillId="4" borderId="0" xfId="2" applyNumberFormat="1" applyFont="1" applyFill="1" applyBorder="1" applyAlignment="1" applyProtection="1">
      <alignment horizontal="center"/>
      <protection locked="0"/>
    </xf>
    <xf numFmtId="0" fontId="29" fillId="4" borderId="0" xfId="8" applyNumberFormat="1" applyFont="1" applyFill="1" applyBorder="1" applyAlignment="1" applyProtection="1">
      <alignment horizontal="center" vertical="center"/>
      <protection locked="0"/>
    </xf>
    <xf numFmtId="10" fontId="29" fillId="4" borderId="0" xfId="2" applyNumberFormat="1" applyFont="1" applyFill="1" applyBorder="1" applyAlignment="1" applyProtection="1">
      <alignment horizontal="center"/>
      <protection locked="0"/>
    </xf>
    <xf numFmtId="170" fontId="29" fillId="4" borderId="0" xfId="2" applyNumberFormat="1" applyFont="1" applyFill="1" applyBorder="1" applyAlignment="1" applyProtection="1">
      <alignment horizontal="center"/>
      <protection locked="0"/>
    </xf>
    <xf numFmtId="167" fontId="29" fillId="4" borderId="0" xfId="15" applyFont="1" applyFill="1" applyBorder="1" applyAlignment="1" applyProtection="1">
      <alignment horizontal="center" shrinkToFit="1"/>
      <protection locked="0"/>
    </xf>
    <xf numFmtId="167" fontId="38" fillId="4" borderId="0" xfId="0" applyFont="1" applyFill="1" applyBorder="1" applyAlignment="1" applyProtection="1">
      <alignment vertical="center"/>
      <protection locked="0"/>
    </xf>
    <xf numFmtId="10" fontId="29" fillId="4" borderId="0" xfId="2" applyNumberFormat="1" applyFont="1" applyFill="1" applyBorder="1" applyAlignment="1" applyProtection="1">
      <alignment horizontal="right"/>
      <protection locked="0"/>
    </xf>
    <xf numFmtId="167" fontId="29" fillId="4" borderId="0" xfId="0" applyFont="1" applyFill="1" applyBorder="1" applyAlignment="1" applyProtection="1">
      <alignment horizontal="center"/>
    </xf>
    <xf numFmtId="165" fontId="42" fillId="4" borderId="0" xfId="0" applyNumberFormat="1" applyFont="1" applyFill="1" applyBorder="1" applyAlignment="1" applyProtection="1">
      <alignment horizontal="center"/>
      <protection locked="0"/>
    </xf>
    <xf numFmtId="167" fontId="42" fillId="4" borderId="0" xfId="0" applyFont="1" applyFill="1" applyBorder="1" applyProtection="1">
      <protection locked="0"/>
    </xf>
    <xf numFmtId="166" fontId="42" fillId="4" borderId="0" xfId="0" applyNumberFormat="1" applyFont="1" applyFill="1" applyBorder="1" applyAlignment="1" applyProtection="1">
      <alignment shrinkToFit="1"/>
      <protection locked="0"/>
    </xf>
    <xf numFmtId="2" fontId="42" fillId="4" borderId="0" xfId="0" applyNumberFormat="1" applyFont="1" applyFill="1" applyBorder="1" applyAlignment="1" applyProtection="1">
      <alignment shrinkToFit="1"/>
      <protection locked="0"/>
    </xf>
    <xf numFmtId="167" fontId="29" fillId="4" borderId="0" xfId="0" applyFont="1" applyFill="1" applyBorder="1" applyAlignment="1" applyProtection="1">
      <alignment shrinkToFit="1"/>
      <protection locked="0"/>
    </xf>
    <xf numFmtId="164" fontId="42" fillId="4" borderId="0" xfId="0" applyNumberFormat="1" applyFont="1" applyFill="1" applyBorder="1" applyAlignment="1" applyProtection="1">
      <alignment shrinkToFit="1"/>
      <protection locked="0"/>
    </xf>
    <xf numFmtId="166" fontId="43" fillId="4" borderId="0" xfId="0" applyNumberFormat="1" applyFont="1" applyFill="1" applyBorder="1" applyAlignment="1" applyProtection="1">
      <alignment horizontal="center"/>
      <protection locked="0"/>
    </xf>
    <xf numFmtId="167" fontId="38" fillId="4" borderId="0" xfId="0" applyFont="1" applyFill="1" applyBorder="1" applyAlignment="1" applyProtection="1">
      <alignment horizontal="center"/>
      <protection locked="0"/>
    </xf>
    <xf numFmtId="167" fontId="44" fillId="4" borderId="0" xfId="0" applyFont="1" applyFill="1" applyBorder="1" applyAlignment="1" applyProtection="1">
      <alignment vertical="center"/>
      <protection locked="0"/>
    </xf>
    <xf numFmtId="167" fontId="42" fillId="4" borderId="0" xfId="1" applyNumberFormat="1" applyFont="1" applyFill="1" applyBorder="1" applyAlignment="1" applyProtection="1">
      <alignment shrinkToFit="1"/>
      <protection locked="0"/>
    </xf>
    <xf numFmtId="2" fontId="42" fillId="4" borderId="0" xfId="1" applyNumberFormat="1" applyFont="1" applyFill="1" applyBorder="1" applyAlignment="1" applyProtection="1">
      <alignment shrinkToFit="1"/>
      <protection locked="0"/>
    </xf>
    <xf numFmtId="167" fontId="29" fillId="4" borderId="0" xfId="0" applyFont="1" applyFill="1" applyBorder="1" applyAlignment="1" applyProtection="1">
      <alignment horizontal="center" vertical="center" shrinkToFit="1"/>
      <protection locked="0"/>
    </xf>
    <xf numFmtId="165" fontId="43" fillId="4" borderId="0" xfId="0" applyNumberFormat="1" applyFont="1" applyFill="1" applyBorder="1" applyAlignment="1" applyProtection="1">
      <alignment horizontal="center"/>
      <protection locked="0"/>
    </xf>
    <xf numFmtId="167" fontId="43" fillId="4" borderId="0" xfId="0" applyFont="1" applyFill="1" applyBorder="1" applyProtection="1">
      <protection locked="0"/>
    </xf>
    <xf numFmtId="1" fontId="29" fillId="4" borderId="0" xfId="8" applyNumberFormat="1" applyFont="1" applyFill="1" applyBorder="1" applyAlignment="1" applyProtection="1">
      <alignment horizontal="center"/>
      <protection locked="0"/>
    </xf>
    <xf numFmtId="167" fontId="42" fillId="4" borderId="0" xfId="0" applyFont="1" applyFill="1" applyBorder="1" applyAlignment="1" applyProtection="1">
      <protection locked="0"/>
    </xf>
    <xf numFmtId="44" fontId="42" fillId="4" borderId="0" xfId="1" applyNumberFormat="1" applyFont="1" applyFill="1" applyBorder="1" applyAlignment="1" applyProtection="1">
      <alignment shrinkToFit="1"/>
      <protection locked="0"/>
    </xf>
    <xf numFmtId="167" fontId="43" fillId="4" borderId="0" xfId="0" applyFont="1" applyFill="1" applyBorder="1" applyAlignment="1" applyProtection="1">
      <alignment horizontal="center"/>
      <protection locked="0"/>
    </xf>
    <xf numFmtId="165" fontId="42" fillId="4" borderId="0" xfId="0" applyNumberFormat="1" applyFont="1" applyFill="1" applyBorder="1" applyAlignment="1" applyProtection="1">
      <alignment shrinkToFit="1"/>
      <protection locked="0"/>
    </xf>
    <xf numFmtId="171" fontId="29" fillId="4" borderId="0" xfId="27" applyNumberFormat="1" applyFont="1" applyFill="1" applyBorder="1" applyAlignment="1" applyProtection="1">
      <alignment horizontal="center" vertical="center"/>
      <protection locked="0"/>
    </xf>
    <xf numFmtId="167" fontId="44" fillId="4" borderId="0" xfId="0" applyFont="1" applyFill="1" applyBorder="1" applyAlignment="1" applyProtection="1">
      <alignment horizontal="center"/>
      <protection locked="0"/>
    </xf>
    <xf numFmtId="167" fontId="29" fillId="4" borderId="0" xfId="0" applyFont="1" applyFill="1" applyBorder="1" applyAlignment="1" applyProtection="1">
      <alignment horizontal="center" vertical="center"/>
      <protection locked="0"/>
    </xf>
    <xf numFmtId="0" fontId="38" fillId="4" borderId="0" xfId="0" applyNumberFormat="1" applyFont="1" applyFill="1" applyBorder="1" applyAlignment="1" applyProtection="1">
      <alignment horizontal="center"/>
      <protection locked="0"/>
    </xf>
    <xf numFmtId="10" fontId="38" fillId="4" borderId="0" xfId="2" applyNumberFormat="1" applyFont="1" applyFill="1" applyBorder="1" applyAlignment="1" applyProtection="1">
      <alignment horizontal="center" shrinkToFit="1"/>
      <protection locked="0"/>
    </xf>
    <xf numFmtId="17" fontId="38" fillId="4" borderId="0" xfId="19" applyNumberFormat="1" applyFont="1" applyFill="1" applyBorder="1" applyAlignment="1" applyProtection="1">
      <alignment horizontal="left"/>
      <protection locked="0"/>
    </xf>
    <xf numFmtId="167" fontId="45" fillId="4" borderId="0" xfId="0" applyFont="1" applyFill="1" applyBorder="1" applyAlignment="1" applyProtection="1">
      <alignment horizontal="center" vertical="center"/>
      <protection locked="0"/>
    </xf>
    <xf numFmtId="167" fontId="45" fillId="4" borderId="0" xfId="0" applyFont="1" applyFill="1" applyBorder="1" applyAlignment="1" applyProtection="1">
      <alignment horizontal="center" vertical="center" wrapText="1"/>
      <protection locked="0"/>
    </xf>
    <xf numFmtId="167" fontId="44" fillId="4" borderId="0" xfId="0" applyFont="1" applyFill="1" applyBorder="1" applyAlignment="1" applyProtection="1">
      <alignment horizontal="center"/>
      <protection locked="0"/>
    </xf>
    <xf numFmtId="167" fontId="44" fillId="4" borderId="0" xfId="0" applyFont="1" applyFill="1" applyBorder="1" applyAlignment="1" applyProtection="1">
      <alignment horizontal="left"/>
      <protection locked="0"/>
    </xf>
    <xf numFmtId="10" fontId="29" fillId="4" borderId="0" xfId="2" applyNumberFormat="1" applyFont="1" applyFill="1" applyBorder="1" applyAlignment="1" applyProtection="1">
      <alignment horizontal="center" vertical="center"/>
      <protection locked="0"/>
    </xf>
    <xf numFmtId="16" fontId="38" fillId="4" borderId="0" xfId="19" applyNumberFormat="1" applyFont="1" applyFill="1" applyBorder="1" applyAlignment="1" applyProtection="1">
      <alignment horizontal="left"/>
      <protection locked="0"/>
    </xf>
    <xf numFmtId="167" fontId="38" fillId="4" borderId="0" xfId="0" applyFont="1" applyFill="1" applyBorder="1" applyAlignment="1" applyProtection="1">
      <alignment horizontal="left"/>
      <protection locked="0"/>
    </xf>
    <xf numFmtId="168" fontId="44" fillId="4" borderId="0" xfId="27" applyNumberFormat="1" applyFont="1" applyFill="1" applyBorder="1" applyAlignment="1" applyProtection="1">
      <alignment horizontal="center" vertical="center"/>
      <protection locked="0"/>
    </xf>
    <xf numFmtId="0" fontId="38" fillId="4" borderId="0" xfId="19" applyFont="1" applyFill="1" applyBorder="1" applyAlignment="1" applyProtection="1">
      <alignment horizontal="center"/>
      <protection locked="0"/>
    </xf>
    <xf numFmtId="0" fontId="29" fillId="4" borderId="0" xfId="0" applyNumberFormat="1" applyFont="1" applyFill="1" applyBorder="1" applyAlignment="1" applyProtection="1">
      <alignment horizontal="center" shrinkToFit="1"/>
      <protection locked="0"/>
    </xf>
    <xf numFmtId="1" fontId="29" fillId="4" borderId="0" xfId="8" applyNumberFormat="1" applyFont="1" applyFill="1" applyBorder="1" applyAlignment="1" applyProtection="1">
      <alignment horizontal="center" shrinkToFit="1"/>
      <protection locked="0"/>
    </xf>
    <xf numFmtId="10" fontId="29" fillId="4" borderId="0" xfId="2" applyNumberFormat="1" applyFont="1" applyFill="1" applyBorder="1" applyAlignment="1" applyProtection="1">
      <protection locked="0"/>
    </xf>
    <xf numFmtId="167" fontId="46" fillId="4" borderId="0" xfId="0" applyFont="1" applyFill="1" applyBorder="1" applyProtection="1">
      <protection locked="0"/>
    </xf>
    <xf numFmtId="10" fontId="38" fillId="4" borderId="0" xfId="0" applyNumberFormat="1" applyFont="1" applyFill="1" applyBorder="1" applyAlignment="1" applyProtection="1">
      <alignment horizontal="center"/>
      <protection locked="0"/>
    </xf>
    <xf numFmtId="10" fontId="42" fillId="4" borderId="0" xfId="0" applyNumberFormat="1" applyFont="1" applyFill="1" applyBorder="1" applyAlignment="1" applyProtection="1">
      <alignment horizontal="right" shrinkToFit="1"/>
      <protection locked="0"/>
    </xf>
    <xf numFmtId="10" fontId="29" fillId="4" borderId="0" xfId="0" applyNumberFormat="1" applyFont="1" applyFill="1" applyBorder="1" applyProtection="1">
      <protection locked="0"/>
    </xf>
    <xf numFmtId="167" fontId="38" fillId="4" borderId="0" xfId="0" applyFont="1" applyFill="1" applyBorder="1" applyAlignment="1" applyProtection="1">
      <alignment horizontal="left" vertical="center"/>
      <protection locked="0"/>
    </xf>
    <xf numFmtId="167" fontId="38" fillId="4" borderId="0" xfId="0" applyFont="1" applyFill="1" applyBorder="1" applyAlignment="1" applyProtection="1">
      <alignment horizontal="left" vertical="center"/>
      <protection locked="0"/>
    </xf>
    <xf numFmtId="165" fontId="42" fillId="4" borderId="0" xfId="0" applyNumberFormat="1" applyFont="1" applyFill="1" applyBorder="1" applyAlignment="1" applyProtection="1">
      <alignment horizontal="left"/>
      <protection locked="0"/>
    </xf>
    <xf numFmtId="165" fontId="42" fillId="4" borderId="0" xfId="0" applyNumberFormat="1" applyFont="1" applyFill="1" applyBorder="1" applyProtection="1">
      <protection locked="0"/>
    </xf>
    <xf numFmtId="165" fontId="42" fillId="4" borderId="0" xfId="0" applyNumberFormat="1" applyFont="1" applyFill="1" applyBorder="1" applyAlignment="1" applyProtection="1">
      <alignment horizontal="right" shrinkToFit="1"/>
      <protection locked="0"/>
    </xf>
    <xf numFmtId="10" fontId="38" fillId="4" borderId="0" xfId="0" applyNumberFormat="1" applyFont="1" applyFill="1" applyBorder="1" applyAlignment="1" applyProtection="1">
      <alignment horizontal="center" shrinkToFit="1"/>
      <protection locked="0"/>
    </xf>
    <xf numFmtId="172" fontId="38" fillId="4" borderId="0" xfId="27" applyNumberFormat="1" applyFont="1" applyFill="1" applyBorder="1" applyAlignment="1" applyProtection="1">
      <alignment horizontal="center"/>
      <protection locked="0"/>
    </xf>
    <xf numFmtId="10" fontId="38" fillId="4" borderId="0" xfId="12" applyNumberFormat="1" applyFont="1" applyFill="1" applyBorder="1" applyAlignment="1" applyProtection="1">
      <alignment horizontal="center"/>
      <protection locked="0"/>
    </xf>
    <xf numFmtId="172" fontId="38" fillId="4" borderId="0" xfId="27" applyNumberFormat="1" applyFont="1" applyFill="1" applyBorder="1" applyAlignment="1" applyProtection="1">
      <alignment horizontal="center" vertical="center"/>
      <protection locked="0"/>
    </xf>
    <xf numFmtId="10" fontId="29" fillId="4" borderId="0" xfId="12" applyNumberFormat="1" applyFont="1" applyFill="1" applyBorder="1" applyAlignment="1" applyProtection="1">
      <alignment horizontal="center"/>
      <protection locked="0"/>
    </xf>
    <xf numFmtId="168" fontId="29" fillId="4" borderId="0" xfId="27" applyNumberFormat="1" applyFont="1" applyFill="1" applyBorder="1" applyProtection="1">
      <protection locked="0"/>
    </xf>
    <xf numFmtId="44" fontId="38" fillId="4" borderId="0" xfId="1" applyFont="1" applyFill="1" applyBorder="1" applyAlignment="1" applyProtection="1">
      <alignment horizontal="center"/>
      <protection locked="0"/>
    </xf>
    <xf numFmtId="168" fontId="38" fillId="4" borderId="0" xfId="27" applyNumberFormat="1" applyFont="1" applyFill="1" applyBorder="1" applyAlignment="1" applyProtection="1">
      <alignment horizontal="center" vertical="center"/>
      <protection locked="0"/>
    </xf>
    <xf numFmtId="10" fontId="29" fillId="4" borderId="0" xfId="0" applyNumberFormat="1" applyFont="1" applyFill="1" applyBorder="1" applyAlignment="1" applyProtection="1">
      <alignment horizontal="center" shrinkToFit="1"/>
      <protection locked="0"/>
    </xf>
    <xf numFmtId="0" fontId="47" fillId="4" borderId="0" xfId="19" applyFont="1" applyFill="1" applyBorder="1" applyAlignment="1" applyProtection="1">
      <alignment horizontal="center"/>
      <protection locked="0"/>
    </xf>
    <xf numFmtId="168" fontId="29" fillId="4" borderId="0" xfId="27" applyNumberFormat="1" applyFont="1" applyFill="1" applyBorder="1" applyAlignment="1" applyProtection="1">
      <alignment horizontal="center" vertical="center"/>
      <protection locked="0"/>
    </xf>
    <xf numFmtId="167" fontId="29" fillId="4" borderId="0" xfId="0" applyFont="1" applyFill="1" applyBorder="1" applyAlignment="1" applyProtection="1">
      <alignment vertical="center" shrinkToFit="1"/>
      <protection locked="0"/>
    </xf>
    <xf numFmtId="167" fontId="38" fillId="4" borderId="0" xfId="0" applyFont="1" applyFill="1" applyBorder="1" applyAlignment="1" applyProtection="1">
      <alignment horizontal="center" vertical="center" shrinkToFit="1"/>
      <protection locked="0"/>
    </xf>
    <xf numFmtId="167" fontId="38" fillId="4" borderId="0" xfId="0" applyFont="1" applyFill="1" applyBorder="1" applyAlignment="1" applyProtection="1">
      <alignment horizontal="center" shrinkToFit="1"/>
      <protection locked="0"/>
    </xf>
    <xf numFmtId="10" fontId="29" fillId="4" borderId="0" xfId="2" applyNumberFormat="1" applyFont="1" applyFill="1" applyBorder="1" applyAlignment="1" applyProtection="1">
      <alignment vertical="center" shrinkToFit="1"/>
      <protection locked="0"/>
    </xf>
    <xf numFmtId="10" fontId="29" fillId="4" borderId="0" xfId="2" applyNumberFormat="1" applyFont="1" applyFill="1" applyBorder="1" applyAlignment="1" applyProtection="1">
      <alignment vertical="center"/>
      <protection locked="0"/>
    </xf>
    <xf numFmtId="0" fontId="29" fillId="4" borderId="0" xfId="0" applyNumberFormat="1" applyFont="1" applyFill="1" applyBorder="1" applyAlignment="1" applyProtection="1">
      <alignment horizontal="center"/>
      <protection locked="0"/>
    </xf>
    <xf numFmtId="167" fontId="38" fillId="4" borderId="0" xfId="0" applyFont="1" applyFill="1" applyBorder="1" applyAlignment="1" applyProtection="1">
      <alignment horizontal="center" vertical="center"/>
      <protection locked="0"/>
    </xf>
    <xf numFmtId="167" fontId="29" fillId="4" borderId="0" xfId="0" applyFont="1" applyFill="1" applyBorder="1" applyAlignment="1" applyProtection="1">
      <alignment vertical="center"/>
      <protection locked="0"/>
    </xf>
    <xf numFmtId="0" fontId="38" fillId="4" borderId="0" xfId="27" applyNumberFormat="1" applyFont="1" applyFill="1" applyBorder="1" applyAlignment="1" applyProtection="1">
      <alignment horizontal="center" vertical="center" shrinkToFit="1"/>
      <protection locked="0"/>
    </xf>
    <xf numFmtId="167" fontId="29" fillId="4" borderId="0" xfId="0" applyFont="1" applyFill="1" applyBorder="1" applyAlignment="1" applyProtection="1">
      <alignment horizontal="center" vertical="center" shrinkToFit="1"/>
      <protection locked="0"/>
    </xf>
    <xf numFmtId="167" fontId="39" fillId="4" borderId="0" xfId="0" applyFont="1" applyFill="1" applyBorder="1" applyAlignment="1" applyProtection="1">
      <alignment horizontal="center" vertical="top" shrinkToFit="1"/>
      <protection locked="0"/>
    </xf>
    <xf numFmtId="167" fontId="39" fillId="4" borderId="0" xfId="0" applyFont="1" applyFill="1" applyBorder="1" applyAlignment="1" applyProtection="1">
      <alignment horizontal="center" vertical="top" shrinkToFit="1"/>
      <protection locked="0"/>
    </xf>
    <xf numFmtId="10" fontId="29" fillId="4" borderId="0" xfId="2" applyNumberFormat="1" applyFont="1" applyFill="1" applyBorder="1" applyAlignment="1" applyProtection="1">
      <alignment horizontal="right"/>
    </xf>
    <xf numFmtId="8" fontId="38" fillId="4" borderId="0" xfId="8" applyNumberFormat="1" applyFont="1" applyFill="1" applyBorder="1" applyAlignment="1" applyProtection="1">
      <alignment horizontal="center" vertical="center" shrinkToFit="1"/>
      <protection locked="0"/>
    </xf>
    <xf numFmtId="0" fontId="38" fillId="4" borderId="0" xfId="16" applyFont="1" applyFill="1" applyBorder="1" applyAlignment="1" applyProtection="1">
      <alignment horizontal="center" vertical="center" shrinkToFit="1"/>
      <protection locked="0"/>
    </xf>
    <xf numFmtId="0" fontId="38" fillId="4" borderId="0" xfId="16" applyFont="1" applyFill="1" applyBorder="1" applyAlignment="1" applyProtection="1">
      <alignment horizontal="center" vertical="center" wrapText="1" shrinkToFit="1"/>
      <protection locked="0"/>
    </xf>
    <xf numFmtId="0" fontId="29" fillId="4" borderId="0" xfId="0" applyNumberFormat="1" applyFont="1" applyFill="1" applyBorder="1" applyAlignment="1" applyProtection="1">
      <alignment horizontal="center" vertical="center"/>
      <protection locked="0"/>
    </xf>
    <xf numFmtId="10" fontId="29" fillId="4" borderId="0" xfId="2" applyNumberFormat="1" applyFont="1" applyFill="1" applyBorder="1" applyAlignment="1" applyProtection="1">
      <alignment horizontal="center" vertical="center"/>
      <protection locked="0"/>
    </xf>
    <xf numFmtId="44" fontId="38" fillId="4" borderId="0" xfId="1" applyFont="1" applyFill="1" applyBorder="1" applyAlignment="1" applyProtection="1">
      <alignment horizontal="center" vertical="center" shrinkToFit="1"/>
      <protection locked="0"/>
    </xf>
    <xf numFmtId="8" fontId="29" fillId="4" borderId="0" xfId="8" applyNumberFormat="1" applyFont="1" applyFill="1" applyBorder="1" applyAlignment="1" applyProtection="1">
      <alignment horizontal="center" vertical="center" shrinkToFit="1"/>
      <protection locked="0"/>
    </xf>
    <xf numFmtId="8" fontId="29" fillId="4" borderId="0" xfId="8" applyNumberFormat="1" applyFont="1" applyFill="1" applyBorder="1" applyAlignment="1" applyProtection="1">
      <alignment horizontal="center" vertical="center" shrinkToFit="1"/>
      <protection locked="0"/>
    </xf>
    <xf numFmtId="167" fontId="29" fillId="4" borderId="0" xfId="0" applyFont="1" applyFill="1" applyBorder="1" applyAlignment="1" applyProtection="1">
      <alignment horizontal="left" vertical="center" indent="1"/>
      <protection locked="0"/>
    </xf>
    <xf numFmtId="165" fontId="48" fillId="4" borderId="0" xfId="1" applyNumberFormat="1" applyFont="1" applyFill="1" applyBorder="1" applyAlignment="1" applyProtection="1">
      <alignment horizontal="center" vertical="center"/>
      <protection locked="0"/>
    </xf>
    <xf numFmtId="168" fontId="47" fillId="4" borderId="0" xfId="8" applyNumberFormat="1" applyFont="1" applyFill="1" applyBorder="1" applyAlignment="1" applyProtection="1">
      <alignment horizontal="center" vertical="center" shrinkToFit="1"/>
      <protection locked="0"/>
    </xf>
    <xf numFmtId="0" fontId="38" fillId="4" borderId="0" xfId="16" applyFont="1" applyFill="1" applyBorder="1" applyAlignment="1" applyProtection="1">
      <alignment vertical="center" shrinkToFit="1"/>
      <protection locked="0"/>
    </xf>
    <xf numFmtId="168" fontId="47" fillId="4" borderId="0" xfId="8" applyNumberFormat="1" applyFont="1" applyFill="1" applyBorder="1" applyAlignment="1" applyProtection="1">
      <alignment shrinkToFit="1"/>
      <protection locked="0"/>
    </xf>
    <xf numFmtId="166" fontId="42" fillId="4" borderId="0" xfId="0" applyNumberFormat="1" applyFont="1" applyFill="1" applyBorder="1" applyProtection="1">
      <protection locked="0"/>
    </xf>
    <xf numFmtId="167" fontId="39" fillId="4" borderId="0" xfId="0" applyFont="1" applyFill="1" applyBorder="1" applyAlignment="1" applyProtection="1">
      <alignment horizontal="center" vertical="center" shrinkToFit="1"/>
      <protection locked="0"/>
    </xf>
    <xf numFmtId="0" fontId="29" fillId="4" borderId="0" xfId="0" applyNumberFormat="1" applyFont="1" applyFill="1" applyBorder="1" applyAlignment="1" applyProtection="1">
      <alignment horizontal="center" shrinkToFit="1"/>
      <protection locked="0"/>
    </xf>
    <xf numFmtId="10" fontId="48" fillId="4" borderId="0" xfId="2" applyNumberFormat="1" applyFont="1" applyFill="1" applyBorder="1" applyAlignment="1" applyProtection="1">
      <alignment horizontal="center" vertical="center"/>
      <protection locked="0"/>
    </xf>
    <xf numFmtId="167" fontId="29" fillId="4" borderId="0" xfId="0" applyFont="1" applyFill="1" applyBorder="1" applyAlignment="1" applyProtection="1">
      <alignment vertical="center"/>
    </xf>
    <xf numFmtId="167" fontId="29" fillId="4" borderId="0" xfId="0" applyFont="1" applyFill="1" applyBorder="1" applyAlignment="1" applyProtection="1">
      <alignment horizontal="center" vertical="center"/>
    </xf>
    <xf numFmtId="167" fontId="29" fillId="4" borderId="0" xfId="0" applyFont="1" applyFill="1" applyBorder="1" applyAlignment="1" applyProtection="1"/>
    <xf numFmtId="10" fontId="29" fillId="4" borderId="0" xfId="2" applyNumberFormat="1" applyFont="1" applyFill="1" applyBorder="1" applyAlignment="1" applyProtection="1">
      <alignment horizontal="center"/>
    </xf>
    <xf numFmtId="167" fontId="29" fillId="4" borderId="0" xfId="0" applyFont="1" applyFill="1" applyBorder="1" applyAlignment="1" applyProtection="1">
      <alignment horizontal="left" vertical="center" indent="1" shrinkToFit="1"/>
      <protection locked="0"/>
    </xf>
    <xf numFmtId="167" fontId="48" fillId="4" borderId="0" xfId="0" applyFont="1" applyFill="1" applyBorder="1" applyAlignment="1" applyProtection="1">
      <alignment horizontal="center" vertical="center" shrinkToFit="1"/>
      <protection locked="0"/>
    </xf>
    <xf numFmtId="0" fontId="47" fillId="4" borderId="0" xfId="3" applyFont="1" applyFill="1" applyBorder="1" applyAlignment="1" applyProtection="1">
      <alignment horizontal="center" vertical="center" shrinkToFit="1"/>
      <protection locked="0"/>
    </xf>
    <xf numFmtId="10" fontId="29" fillId="4" borderId="0" xfId="2" applyNumberFormat="1" applyFont="1" applyFill="1" applyBorder="1" applyAlignment="1" applyProtection="1"/>
    <xf numFmtId="168" fontId="47" fillId="4" borderId="0" xfId="27" applyNumberFormat="1" applyFont="1" applyFill="1" applyBorder="1" applyAlignment="1" applyProtection="1">
      <alignment horizontal="center"/>
      <protection locked="0"/>
    </xf>
    <xf numFmtId="167" fontId="47" fillId="4" borderId="0" xfId="0" applyFont="1" applyFill="1" applyBorder="1" applyAlignment="1" applyProtection="1">
      <alignment horizontal="center"/>
      <protection locked="0"/>
    </xf>
    <xf numFmtId="10" fontId="29" fillId="4" borderId="0" xfId="2" applyNumberFormat="1" applyFont="1" applyFill="1" applyBorder="1" applyAlignment="1" applyProtection="1">
      <alignment horizontal="center" shrinkToFit="1"/>
      <protection locked="0"/>
    </xf>
    <xf numFmtId="167" fontId="29" fillId="4" borderId="0" xfId="0" applyFont="1" applyFill="1" applyBorder="1" applyAlignment="1" applyProtection="1">
      <alignment horizontal="left"/>
      <protection locked="0"/>
    </xf>
    <xf numFmtId="168" fontId="49" fillId="4" borderId="0" xfId="8" applyNumberFormat="1" applyFont="1" applyFill="1" applyBorder="1" applyAlignment="1" applyProtection="1">
      <alignment horizontal="center"/>
      <protection locked="0"/>
    </xf>
    <xf numFmtId="170" fontId="47" fillId="4" borderId="0" xfId="12" applyNumberFormat="1" applyFont="1" applyFill="1" applyBorder="1" applyAlignment="1" applyProtection="1">
      <alignment horizontal="center"/>
      <protection locked="0"/>
    </xf>
    <xf numFmtId="170" fontId="47" fillId="4" borderId="0" xfId="2" applyNumberFormat="1" applyFont="1" applyFill="1" applyBorder="1" applyAlignment="1" applyProtection="1">
      <alignment horizontal="center"/>
      <protection locked="0"/>
    </xf>
    <xf numFmtId="10" fontId="29" fillId="4" borderId="0" xfId="2" applyNumberFormat="1" applyFont="1" applyFill="1" applyBorder="1" applyAlignment="1" applyProtection="1">
      <alignment horizontal="right" shrinkToFit="1"/>
      <protection locked="0"/>
    </xf>
    <xf numFmtId="10" fontId="29" fillId="4" borderId="0" xfId="2" applyNumberFormat="1" applyFont="1" applyFill="1" applyBorder="1" applyAlignment="1" applyProtection="1">
      <alignment horizontal="left"/>
      <protection locked="0"/>
    </xf>
    <xf numFmtId="168" fontId="29" fillId="4" borderId="0" xfId="8" applyNumberFormat="1" applyFont="1" applyFill="1" applyBorder="1" applyAlignment="1" applyProtection="1">
      <alignment horizontal="center" vertical="center"/>
      <protection locked="0"/>
    </xf>
    <xf numFmtId="170" fontId="47" fillId="4" borderId="0" xfId="12" applyNumberFormat="1" applyFont="1" applyFill="1" applyBorder="1" applyAlignment="1" applyProtection="1">
      <alignment horizontal="center" vertical="center"/>
      <protection locked="0"/>
    </xf>
    <xf numFmtId="168" fontId="47" fillId="4" borderId="0" xfId="27" applyNumberFormat="1" applyFont="1" applyFill="1" applyBorder="1" applyAlignment="1" applyProtection="1">
      <alignment horizontal="center"/>
    </xf>
    <xf numFmtId="9" fontId="47" fillId="4" borderId="0" xfId="12" applyNumberFormat="1" applyFont="1" applyFill="1" applyBorder="1" applyAlignment="1" applyProtection="1">
      <alignment horizontal="center" vertical="center"/>
      <protection locked="0"/>
    </xf>
    <xf numFmtId="167" fontId="38" fillId="4" borderId="0" xfId="0" applyFont="1" applyFill="1" applyBorder="1" applyProtection="1"/>
    <xf numFmtId="2" fontId="29" fillId="4" borderId="0" xfId="0" applyNumberFormat="1" applyFont="1" applyFill="1" applyBorder="1" applyAlignment="1" applyProtection="1">
      <protection locked="0"/>
    </xf>
    <xf numFmtId="167" fontId="29" fillId="0" borderId="0" xfId="0" applyFont="1" applyBorder="1" applyAlignment="1" applyProtection="1">
      <alignment horizontal="left"/>
      <protection locked="0"/>
    </xf>
    <xf numFmtId="167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Fill="1" applyBorder="1" applyAlignment="1" applyProtection="1">
      <protection locked="0"/>
    </xf>
    <xf numFmtId="167" fontId="29" fillId="0" borderId="0" xfId="0" applyFont="1" applyFill="1" applyBorder="1" applyAlignment="1" applyProtection="1">
      <alignment shrinkToFit="1"/>
      <protection locked="0"/>
    </xf>
    <xf numFmtId="167" fontId="29" fillId="0" borderId="0" xfId="0" applyFont="1" applyFill="1" applyAlignment="1" applyProtection="1">
      <alignment shrinkToFit="1"/>
      <protection locked="0"/>
    </xf>
    <xf numFmtId="10" fontId="29" fillId="0" borderId="0" xfId="2" applyNumberFormat="1" applyFont="1" applyFill="1" applyBorder="1" applyAlignment="1" applyProtection="1">
      <alignment shrinkToFit="1"/>
      <protection locked="0"/>
    </xf>
    <xf numFmtId="167" fontId="29" fillId="0" borderId="0" xfId="0" applyFont="1" applyAlignment="1" applyProtection="1">
      <alignment shrinkToFit="1"/>
      <protection locked="0"/>
    </xf>
    <xf numFmtId="167" fontId="29" fillId="0" borderId="0" xfId="0" applyFont="1" applyFill="1" applyBorder="1" applyProtection="1"/>
    <xf numFmtId="167" fontId="29" fillId="0" borderId="0" xfId="0" applyFont="1" applyFill="1" applyBorder="1" applyAlignment="1" applyProtection="1">
      <alignment horizontal="center"/>
      <protection locked="0"/>
    </xf>
    <xf numFmtId="10" fontId="29" fillId="0" borderId="0" xfId="2" applyNumberFormat="1" applyFont="1" applyFill="1" applyBorder="1" applyAlignment="1" applyProtection="1">
      <alignment horizontal="center"/>
      <protection locked="0"/>
    </xf>
    <xf numFmtId="167" fontId="29" fillId="0" borderId="0" xfId="0" applyFont="1" applyFill="1" applyBorder="1" applyAlignment="1" applyProtection="1">
      <protection locked="0"/>
    </xf>
    <xf numFmtId="10" fontId="29" fillId="0" borderId="0" xfId="2" applyNumberFormat="1" applyFont="1" applyFill="1" applyBorder="1" applyAlignment="1" applyProtection="1">
      <alignment horizontal="left"/>
      <protection locked="0"/>
    </xf>
    <xf numFmtId="167" fontId="29" fillId="0" borderId="0" xfId="0" applyFont="1" applyFill="1" applyBorder="1" applyAlignment="1" applyProtection="1">
      <alignment horizontal="left"/>
      <protection locked="0"/>
    </xf>
    <xf numFmtId="167" fontId="29" fillId="0" borderId="0" xfId="0" applyFont="1" applyFill="1" applyAlignment="1" applyProtection="1">
      <alignment horizontal="center"/>
      <protection locked="0"/>
    </xf>
    <xf numFmtId="10" fontId="29" fillId="0" borderId="0" xfId="2" applyNumberFormat="1" applyFont="1" applyProtection="1">
      <protection locked="0"/>
    </xf>
    <xf numFmtId="167" fontId="29" fillId="0" borderId="0" xfId="0" applyFont="1" applyFill="1" applyBorder="1" applyAlignment="1" applyProtection="1">
      <alignment horizontal="center" vertical="center"/>
    </xf>
    <xf numFmtId="167" fontId="29" fillId="0" borderId="0" xfId="0" applyFont="1" applyFill="1" applyBorder="1" applyAlignment="1" applyProtection="1">
      <alignment horizontal="center"/>
    </xf>
    <xf numFmtId="10" fontId="29" fillId="0" borderId="0" xfId="2" applyNumberFormat="1" applyFont="1" applyFill="1" applyBorder="1" applyAlignment="1" applyProtection="1">
      <alignment horizontal="left"/>
    </xf>
    <xf numFmtId="167" fontId="29" fillId="0" borderId="0" xfId="0" applyFont="1" applyFill="1" applyBorder="1" applyAlignment="1" applyProtection="1"/>
    <xf numFmtId="167" fontId="29" fillId="0" borderId="0" xfId="0" applyFont="1" applyFill="1" applyBorder="1" applyAlignment="1" applyProtection="1">
      <alignment horizontal="right"/>
    </xf>
    <xf numFmtId="10" fontId="29" fillId="0" borderId="0" xfId="2" applyNumberFormat="1" applyFont="1" applyFill="1" applyBorder="1" applyProtection="1">
      <protection locked="0"/>
    </xf>
    <xf numFmtId="2" fontId="29" fillId="0" borderId="0" xfId="0" applyNumberFormat="1" applyFont="1" applyFill="1" applyBorder="1" applyProtection="1">
      <protection locked="0"/>
    </xf>
    <xf numFmtId="168" fontId="29" fillId="0" borderId="0" xfId="8" applyNumberFormat="1" applyFont="1" applyFill="1" applyBorder="1" applyAlignment="1" applyProtection="1">
      <alignment horizontal="center" vertical="center"/>
      <protection locked="0"/>
    </xf>
    <xf numFmtId="10" fontId="29" fillId="0" borderId="0" xfId="2" applyNumberFormat="1" applyFont="1" applyFill="1" applyBorder="1" applyAlignment="1" applyProtection="1">
      <alignment horizontal="right"/>
    </xf>
    <xf numFmtId="10" fontId="29" fillId="0" borderId="0" xfId="2" applyNumberFormat="1" applyFont="1" applyFill="1" applyBorder="1" applyAlignment="1" applyProtection="1">
      <alignment horizontal="center"/>
    </xf>
    <xf numFmtId="167" fontId="29" fillId="0" borderId="0" xfId="0" applyFont="1" applyFill="1" applyBorder="1" applyAlignment="1" applyProtection="1">
      <alignment horizontal="center"/>
      <protection locked="0"/>
    </xf>
    <xf numFmtId="10" fontId="29" fillId="0" borderId="0" xfId="2" applyNumberFormat="1" applyFont="1" applyFill="1" applyBorder="1" applyAlignment="1" applyProtection="1">
      <protection locked="0"/>
    </xf>
    <xf numFmtId="167" fontId="29" fillId="0" borderId="0" xfId="0" applyFont="1" applyBorder="1" applyProtection="1"/>
    <xf numFmtId="10" fontId="29" fillId="0" borderId="0" xfId="2" applyNumberFormat="1" applyFont="1" applyFill="1" applyBorder="1" applyAlignment="1" applyProtection="1"/>
    <xf numFmtId="167" fontId="29" fillId="0" borderId="0" xfId="0" applyFont="1" applyAlignment="1" applyProtection="1">
      <alignment horizontal="center"/>
    </xf>
    <xf numFmtId="167" fontId="29" fillId="0" borderId="0" xfId="0" applyFont="1" applyFill="1" applyProtection="1"/>
    <xf numFmtId="167" fontId="29" fillId="0" borderId="0" xfId="0" applyFont="1" applyFill="1" applyBorder="1" applyAlignment="1" applyProtection="1">
      <alignment horizontal="center" vertical="center"/>
      <protection locked="0"/>
    </xf>
    <xf numFmtId="10" fontId="29" fillId="0" borderId="0" xfId="2" applyNumberFormat="1" applyFont="1" applyFill="1" applyBorder="1" applyAlignment="1" applyProtection="1">
      <alignment horizontal="right"/>
      <protection locked="0"/>
    </xf>
    <xf numFmtId="167" fontId="38" fillId="0" borderId="0" xfId="0" applyFont="1" applyFill="1" applyBorder="1" applyAlignment="1" applyProtection="1">
      <alignment horizontal="center"/>
      <protection locked="0"/>
    </xf>
    <xf numFmtId="169" fontId="29" fillId="0" borderId="0" xfId="8" applyNumberFormat="1" applyFont="1" applyFill="1" applyBorder="1" applyAlignment="1" applyProtection="1">
      <alignment horizontal="center"/>
      <protection locked="0"/>
    </xf>
    <xf numFmtId="10" fontId="29" fillId="0" borderId="0" xfId="2" applyNumberFormat="1" applyFont="1" applyFill="1" applyBorder="1" applyAlignment="1" applyProtection="1">
      <alignment horizontal="center" shrinkToFit="1"/>
    </xf>
    <xf numFmtId="167" fontId="29" fillId="0" borderId="0" xfId="0" applyFont="1" applyFill="1" applyProtection="1">
      <protection locked="0"/>
    </xf>
    <xf numFmtId="10" fontId="29" fillId="0" borderId="0" xfId="2" applyNumberFormat="1" applyFont="1" applyFill="1" applyBorder="1" applyAlignment="1" applyProtection="1">
      <alignment horizontal="right" shrinkToFit="1"/>
    </xf>
    <xf numFmtId="10" fontId="29" fillId="0" borderId="0" xfId="2" applyNumberFormat="1" applyFont="1" applyFill="1" applyBorder="1" applyAlignment="1" applyProtection="1">
      <alignment horizontal="right" shrinkToFit="1"/>
      <protection locked="0"/>
    </xf>
    <xf numFmtId="10" fontId="29" fillId="0" borderId="0" xfId="2" quotePrefix="1" applyNumberFormat="1" applyFont="1" applyFill="1" applyBorder="1" applyAlignment="1" applyProtection="1">
      <alignment horizontal="center"/>
      <protection locked="0"/>
    </xf>
    <xf numFmtId="10" fontId="42" fillId="0" borderId="0" xfId="2" applyNumberFormat="1" applyFont="1" applyFill="1" applyBorder="1" applyProtection="1"/>
    <xf numFmtId="167" fontId="29" fillId="0" borderId="0" xfId="0" applyFont="1" applyAlignment="1" applyProtection="1">
      <alignment horizontal="center"/>
      <protection locked="0"/>
    </xf>
  </cellXfs>
  <cellStyles count="28">
    <cellStyle name="Comma" xfId="27" builtinId="3"/>
    <cellStyle name="Comma 2" xfId="4"/>
    <cellStyle name="Comma 2 2" xfId="22"/>
    <cellStyle name="Comma 3" xfId="8"/>
    <cellStyle name="Currency" xfId="1" builtinId="4"/>
    <cellStyle name="Currency 2" xfId="5"/>
    <cellStyle name="Currency 2 2" xfId="17"/>
    <cellStyle name="Currency 3" xfId="9"/>
    <cellStyle name="Hyperlink" xfId="15" builtinId="8"/>
    <cellStyle name="Hyperlink 2" xfId="18"/>
    <cellStyle name="Normal" xfId="0" builtinId="0"/>
    <cellStyle name="Normal 2" xfId="3"/>
    <cellStyle name="Normal 2 2" xfId="19"/>
    <cellStyle name="Normal 3" xfId="10"/>
    <cellStyle name="Normal 3 2" xfId="24"/>
    <cellStyle name="Normal 4" xfId="7"/>
    <cellStyle name="Normal 4 2" xfId="23"/>
    <cellStyle name="Normal 5" xfId="11"/>
    <cellStyle name="Normal 5 2" xfId="25"/>
    <cellStyle name="Normal 6" xfId="13"/>
    <cellStyle name="Normal 6 2" xfId="16"/>
    <cellStyle name="Normal 7" xfId="14"/>
    <cellStyle name="Normal 7 2" xfId="26"/>
    <cellStyle name="Normal 8" xfId="21"/>
    <cellStyle name="Percent" xfId="2" builtinId="5"/>
    <cellStyle name="Percent 2" xfId="6"/>
    <cellStyle name="Percent 2 2" xfId="20"/>
    <cellStyle name="Percent 3" xfId="12"/>
  </cellStyles>
  <dxfs count="0"/>
  <tableStyles count="0" defaultTableStyle="TableStyleMedium9" defaultPivotStyle="PivotStyleLight16"/>
  <colors>
    <mruColors>
      <color rgb="FFFFFF99"/>
      <color rgb="FFC0C0C0"/>
      <color rgb="FF43403D"/>
      <color rgb="FF9E5944"/>
      <color rgb="FFD8B0A4"/>
      <color rgb="FFC08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E$333" fmlaRange="$P$315:$P$322" noThreeD="1" sel="6" val="0"/>
</file>

<file path=xl/ctrlProps/ctrlProp2.xml><?xml version="1.0" encoding="utf-8"?>
<formControlPr xmlns="http://schemas.microsoft.com/office/spreadsheetml/2009/9/main" objectType="Drop" dropStyle="combo" dx="16" fmlaLink="$F$333" fmlaRange="$Q$315:$Q$329" noThreeD="1" sel="10" val="7"/>
</file>

<file path=xl/ctrlProps/ctrlProp3.xml><?xml version="1.0" encoding="utf-8"?>
<formControlPr xmlns="http://schemas.microsoft.com/office/spreadsheetml/2009/9/main" objectType="Drop" dropStyle="combo" dx="16" fmlaLink="$L$325" fmlaRange="$K$323:$L$324" noThreeD="1" sel="1" val="0"/>
</file>

<file path=xl/ctrlProps/ctrlProp4.xml><?xml version="1.0" encoding="utf-8"?>
<formControlPr xmlns="http://schemas.microsoft.com/office/spreadsheetml/2009/9/main" objectType="Drop" dropStyle="combo" dx="16" fmlaLink="$M$317" fmlaRange="$M$314:$M$316" noThreeD="1" sel="3" val="0"/>
</file>

<file path=xl/ctrlProps/ctrlProp5.xml><?xml version="1.0" encoding="utf-8"?>
<formControlPr xmlns="http://schemas.microsoft.com/office/spreadsheetml/2009/9/main" objectType="Drop" dropStyle="combo" dx="16" fmlaLink="$E$333" fmlaRange="$P$315:$P$322" noThreeD="1" sel="6" val="0"/>
</file>

<file path=xl/ctrlProps/ctrlProp6.xml><?xml version="1.0" encoding="utf-8"?>
<formControlPr xmlns="http://schemas.microsoft.com/office/spreadsheetml/2009/9/main" objectType="Drop" dropStyle="combo" dx="16" fmlaLink="$F$333" fmlaRange="$Q$315:$Q$329" noThreeD="1" sel="10" val="7"/>
</file>

<file path=xl/ctrlProps/ctrlProp7.xml><?xml version="1.0" encoding="utf-8"?>
<formControlPr xmlns="http://schemas.microsoft.com/office/spreadsheetml/2009/9/main" objectType="Drop" dropStyle="combo" dx="16" fmlaLink="$L$325" fmlaRange="$K$323:$L$324" noThreeD="1" sel="1" val="0"/>
</file>

<file path=xl/ctrlProps/ctrlProp8.xml><?xml version="1.0" encoding="utf-8"?>
<formControlPr xmlns="http://schemas.microsoft.com/office/spreadsheetml/2009/9/main" objectType="Drop" dropStyle="combo" dx="16" fmlaLink="$M$317" fmlaRange="$M$314:$M$316" noThreeD="1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17</xdr:row>
          <xdr:rowOff>57150</xdr:rowOff>
        </xdr:from>
        <xdr:to>
          <xdr:col>4</xdr:col>
          <xdr:colOff>466725</xdr:colOff>
          <xdr:row>18</xdr:row>
          <xdr:rowOff>133350</xdr:rowOff>
        </xdr:to>
        <xdr:sp macro="" textlink="">
          <xdr:nvSpPr>
            <xdr:cNvPr id="48129" name="Drop Down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17</xdr:row>
          <xdr:rowOff>57150</xdr:rowOff>
        </xdr:from>
        <xdr:to>
          <xdr:col>6</xdr:col>
          <xdr:colOff>1181100</xdr:colOff>
          <xdr:row>18</xdr:row>
          <xdr:rowOff>142875</xdr:rowOff>
        </xdr:to>
        <xdr:sp macro="" textlink="">
          <xdr:nvSpPr>
            <xdr:cNvPr id="48130" name="Drop Down 2" hidden="1">
              <a:extLst>
                <a:ext uri="{63B3BB69-23CF-44E3-9099-C40C66FF867C}">
                  <a14:compatExt spid="_x0000_s48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8042</xdr:colOff>
      <xdr:row>1</xdr:row>
      <xdr:rowOff>53416</xdr:rowOff>
    </xdr:from>
    <xdr:to>
      <xdr:col>24</xdr:col>
      <xdr:colOff>353785</xdr:colOff>
      <xdr:row>46</xdr:row>
      <xdr:rowOff>89444</xdr:rowOff>
    </xdr:to>
    <xdr:sp macro="" textlink="">
      <xdr:nvSpPr>
        <xdr:cNvPr id="4" name="Rounded Rectangle 3"/>
        <xdr:cNvSpPr/>
      </xdr:nvSpPr>
      <xdr:spPr bwMode="auto">
        <a:xfrm>
          <a:off x="116899" y="148666"/>
          <a:ext cx="12211172" cy="7914564"/>
        </a:xfrm>
        <a:prstGeom prst="roundRect">
          <a:avLst>
            <a:gd name="adj" fmla="val 2534"/>
          </a:avLst>
        </a:prstGeom>
        <a:noFill/>
        <a:ln w="44450" cap="rnd" cmpd="sng" algn="ctr">
          <a:solidFill>
            <a:schemeClr val="accent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oneCellAnchor>
    <xdr:from>
      <xdr:col>23</xdr:col>
      <xdr:colOff>443023</xdr:colOff>
      <xdr:row>314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11987323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twoCellAnchor editAs="oneCell">
    <xdr:from>
      <xdr:col>2</xdr:col>
      <xdr:colOff>139466</xdr:colOff>
      <xdr:row>2</xdr:row>
      <xdr:rowOff>88561</xdr:rowOff>
    </xdr:from>
    <xdr:to>
      <xdr:col>6</xdr:col>
      <xdr:colOff>1053436</xdr:colOff>
      <xdr:row>6</xdr:row>
      <xdr:rowOff>6927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641" y="383836"/>
          <a:ext cx="4295345" cy="5470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19</xdr:row>
          <xdr:rowOff>28575</xdr:rowOff>
        </xdr:from>
        <xdr:to>
          <xdr:col>6</xdr:col>
          <xdr:colOff>1190625</xdr:colOff>
          <xdr:row>20</xdr:row>
          <xdr:rowOff>114300</xdr:rowOff>
        </xdr:to>
        <xdr:sp macro="" textlink="">
          <xdr:nvSpPr>
            <xdr:cNvPr id="48131" name="Drop Down 3" hidden="1">
              <a:extLst>
                <a:ext uri="{63B3BB69-23CF-44E3-9099-C40C66FF867C}">
                  <a14:compatExt spid="_x0000_s48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19</xdr:row>
          <xdr:rowOff>19050</xdr:rowOff>
        </xdr:from>
        <xdr:to>
          <xdr:col>4</xdr:col>
          <xdr:colOff>476250</xdr:colOff>
          <xdr:row>20</xdr:row>
          <xdr:rowOff>104775</xdr:rowOff>
        </xdr:to>
        <xdr:sp macro="" textlink="">
          <xdr:nvSpPr>
            <xdr:cNvPr id="48132" name="Drop Down 4" hidden="1">
              <a:extLst>
                <a:ext uri="{63B3BB69-23CF-44E3-9099-C40C66FF867C}">
                  <a14:compatExt spid="_x0000_s48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10</xdr:col>
      <xdr:colOff>156882</xdr:colOff>
      <xdr:row>3</xdr:row>
      <xdr:rowOff>44823</xdr:rowOff>
    </xdr:from>
    <xdr:to>
      <xdr:col>24</xdr:col>
      <xdr:colOff>330685</xdr:colOff>
      <xdr:row>41</xdr:row>
      <xdr:rowOff>139962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9176" y="504264"/>
          <a:ext cx="7054215" cy="6471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17</xdr:row>
          <xdr:rowOff>57150</xdr:rowOff>
        </xdr:from>
        <xdr:to>
          <xdr:col>4</xdr:col>
          <xdr:colOff>466725</xdr:colOff>
          <xdr:row>18</xdr:row>
          <xdr:rowOff>133350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17</xdr:row>
          <xdr:rowOff>57150</xdr:rowOff>
        </xdr:from>
        <xdr:to>
          <xdr:col>6</xdr:col>
          <xdr:colOff>1181100</xdr:colOff>
          <xdr:row>18</xdr:row>
          <xdr:rowOff>142875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135949</xdr:colOff>
      <xdr:row>1</xdr:row>
      <xdr:rowOff>53416</xdr:rowOff>
    </xdr:from>
    <xdr:to>
      <xdr:col>9</xdr:col>
      <xdr:colOff>90055</xdr:colOff>
      <xdr:row>46</xdr:row>
      <xdr:rowOff>89444</xdr:rowOff>
    </xdr:to>
    <xdr:sp macro="" textlink="">
      <xdr:nvSpPr>
        <xdr:cNvPr id="4" name="Rounded Rectangle 3"/>
        <xdr:cNvSpPr/>
      </xdr:nvSpPr>
      <xdr:spPr bwMode="auto">
        <a:xfrm>
          <a:off x="135949" y="143471"/>
          <a:ext cx="5218833" cy="7545191"/>
        </a:xfrm>
        <a:prstGeom prst="roundRect">
          <a:avLst>
            <a:gd name="adj" fmla="val 2534"/>
          </a:avLst>
        </a:prstGeom>
        <a:noFill/>
        <a:ln w="44450" cap="rnd" cmpd="sng" algn="ctr">
          <a:solidFill>
            <a:schemeClr val="accent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oneCellAnchor>
    <xdr:from>
      <xdr:col>23</xdr:col>
      <xdr:colOff>443023</xdr:colOff>
      <xdr:row>314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7653448" y="4903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twoCellAnchor editAs="oneCell">
    <xdr:from>
      <xdr:col>2</xdr:col>
      <xdr:colOff>139466</xdr:colOff>
      <xdr:row>2</xdr:row>
      <xdr:rowOff>88561</xdr:rowOff>
    </xdr:from>
    <xdr:to>
      <xdr:col>6</xdr:col>
      <xdr:colOff>1053436</xdr:colOff>
      <xdr:row>6</xdr:row>
      <xdr:rowOff>6927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39" y="379506"/>
          <a:ext cx="4384533" cy="54182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19</xdr:row>
          <xdr:rowOff>28575</xdr:rowOff>
        </xdr:from>
        <xdr:to>
          <xdr:col>6</xdr:col>
          <xdr:colOff>1190625</xdr:colOff>
          <xdr:row>20</xdr:row>
          <xdr:rowOff>114300</xdr:rowOff>
        </xdr:to>
        <xdr:sp macro="" textlink="">
          <xdr:nvSpPr>
            <xdr:cNvPr id="19459" name="Drop Down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19</xdr:row>
          <xdr:rowOff>19050</xdr:rowOff>
        </xdr:from>
        <xdr:to>
          <xdr:col>4</xdr:col>
          <xdr:colOff>476250</xdr:colOff>
          <xdr:row>20</xdr:row>
          <xdr:rowOff>104775</xdr:rowOff>
        </xdr:to>
        <xdr:sp macro="" textlink="">
          <xdr:nvSpPr>
            <xdr:cNvPr id="19460" name="Drop Down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0"/>
          </a:srgbClr>
        </a:solidFill>
        <a:ln w="158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0"/>
          </a:srgbClr>
        </a:solidFill>
        <a:ln w="158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13" Type="http://schemas.openxmlformats.org/officeDocument/2006/relationships/comments" Target="../comments1.xml"/><Relationship Id="rId3" Type="http://schemas.openxmlformats.org/officeDocument/2006/relationships/hyperlink" Target="http://www.creditcapable.co.nz/html/gold.html" TargetMode="External"/><Relationship Id="rId7" Type="http://schemas.openxmlformats.org/officeDocument/2006/relationships/drawing" Target="../drawings/drawing1.xml"/><Relationship Id="rId12" Type="http://schemas.openxmlformats.org/officeDocument/2006/relationships/ctrlProp" Target="../ctrlProps/ctrlProp4.xml"/><Relationship Id="rId2" Type="http://schemas.openxmlformats.org/officeDocument/2006/relationships/hyperlink" Target="mailto:W%25@0%25%20F.R" TargetMode="External"/><Relationship Id="rId1" Type="http://schemas.openxmlformats.org/officeDocument/2006/relationships/hyperlink" Target="mailto:W%25@0%25%20F.R" TargetMode="External"/><Relationship Id="rId6" Type="http://schemas.openxmlformats.org/officeDocument/2006/relationships/printerSettings" Target="../printerSettings/printerSettings2.bin"/><Relationship Id="rId11" Type="http://schemas.openxmlformats.org/officeDocument/2006/relationships/ctrlProp" Target="../ctrlProps/ctrlProp3.xml"/><Relationship Id="rId5" Type="http://schemas.openxmlformats.org/officeDocument/2006/relationships/hyperlink" Target="http://www.creditcapable.co.nz/html/gold.html" TargetMode="External"/><Relationship Id="rId10" Type="http://schemas.openxmlformats.org/officeDocument/2006/relationships/ctrlProp" Target="../ctrlProps/ctrlProp2.xml"/><Relationship Id="rId4" Type="http://schemas.openxmlformats.org/officeDocument/2006/relationships/hyperlink" Target="mailto:accounts@creditcapable.co.nz" TargetMode="External"/><Relationship Id="rId9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13" Type="http://schemas.openxmlformats.org/officeDocument/2006/relationships/comments" Target="../comments2.xml"/><Relationship Id="rId3" Type="http://schemas.openxmlformats.org/officeDocument/2006/relationships/hyperlink" Target="http://www.creditcapable.co.nz/html/gold.html" TargetMode="External"/><Relationship Id="rId7" Type="http://schemas.openxmlformats.org/officeDocument/2006/relationships/drawing" Target="../drawings/drawing2.xml"/><Relationship Id="rId12" Type="http://schemas.openxmlformats.org/officeDocument/2006/relationships/ctrlProp" Target="../ctrlProps/ctrlProp8.xml"/><Relationship Id="rId2" Type="http://schemas.openxmlformats.org/officeDocument/2006/relationships/hyperlink" Target="mailto:W%25@0%25%20F.R" TargetMode="External"/><Relationship Id="rId1" Type="http://schemas.openxmlformats.org/officeDocument/2006/relationships/hyperlink" Target="mailto:W%25@0%25%20F.R" TargetMode="External"/><Relationship Id="rId6" Type="http://schemas.openxmlformats.org/officeDocument/2006/relationships/printerSettings" Target="../printerSettings/printerSettings3.bin"/><Relationship Id="rId11" Type="http://schemas.openxmlformats.org/officeDocument/2006/relationships/ctrlProp" Target="../ctrlProps/ctrlProp7.xml"/><Relationship Id="rId5" Type="http://schemas.openxmlformats.org/officeDocument/2006/relationships/hyperlink" Target="http://www.creditcapable.co.nz/html/gold.html" TargetMode="External"/><Relationship Id="rId10" Type="http://schemas.openxmlformats.org/officeDocument/2006/relationships/ctrlProp" Target="../ctrlProps/ctrlProp6.xml"/><Relationship Id="rId4" Type="http://schemas.openxmlformats.org/officeDocument/2006/relationships/hyperlink" Target="mailto:accounts@creditcapable.co.nz" TargetMode="Externa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3"/>
  </sheetPr>
  <dimension ref="A165:P230"/>
  <sheetViews>
    <sheetView workbookViewId="0">
      <selection activeCell="A169" sqref="A169:IV224"/>
    </sheetView>
  </sheetViews>
  <sheetFormatPr defaultColWidth="9.140625" defaultRowHeight="12.75" x14ac:dyDescent="0.2"/>
  <cols>
    <col min="1" max="1" width="1.5703125" style="49" customWidth="1"/>
    <col min="2" max="2" width="27.7109375" style="49" customWidth="1"/>
    <col min="3" max="4" width="9.140625" style="49"/>
    <col min="5" max="5" width="27.5703125" style="49" customWidth="1"/>
    <col min="6" max="7" width="9.140625" style="49"/>
    <col min="8" max="8" width="4.42578125" style="49" customWidth="1"/>
    <col min="9" max="9" width="9.140625" style="49"/>
    <col min="10" max="10" width="9" style="49" customWidth="1"/>
    <col min="11" max="15" width="9.140625" style="49"/>
    <col min="16" max="16" width="10.85546875" style="49" customWidth="1"/>
    <col min="17" max="16384" width="9.140625" style="49"/>
  </cols>
  <sheetData>
    <row r="165" spans="1:16" ht="12.75" customHeight="1" x14ac:dyDescent="0.2">
      <c r="A165" s="48"/>
      <c r="B165" s="48"/>
      <c r="C165" s="48"/>
      <c r="D165" s="48"/>
      <c r="E165" s="48"/>
      <c r="F165" s="48"/>
      <c r="G165" s="48"/>
      <c r="H165" s="48"/>
      <c r="I165" s="48"/>
    </row>
    <row r="166" spans="1:16" ht="12.75" customHeight="1" x14ac:dyDescent="0.2">
      <c r="A166" s="48"/>
      <c r="B166" s="48"/>
      <c r="C166" s="48"/>
      <c r="D166" s="48"/>
      <c r="E166" s="48"/>
      <c r="F166" s="48"/>
      <c r="G166" s="48"/>
      <c r="H166" s="48"/>
      <c r="I166" s="48"/>
    </row>
    <row r="167" spans="1:16" ht="12.75" customHeight="1" x14ac:dyDescent="0.2">
      <c r="A167" s="48"/>
      <c r="B167" s="48"/>
      <c r="C167" s="48"/>
      <c r="D167" s="48"/>
      <c r="E167" s="48"/>
      <c r="F167" s="48"/>
      <c r="G167" s="48"/>
      <c r="H167" s="48"/>
      <c r="I167" s="48"/>
    </row>
    <row r="168" spans="1:16" ht="12.75" customHeight="1" x14ac:dyDescent="0.2">
      <c r="A168" s="48"/>
      <c r="B168" s="48"/>
      <c r="C168" s="48"/>
      <c r="D168" s="48"/>
      <c r="E168" s="48"/>
      <c r="F168" s="48"/>
      <c r="G168" s="48"/>
      <c r="H168" s="48"/>
      <c r="I168" s="48"/>
    </row>
    <row r="169" spans="1:16" s="48" customFormat="1" ht="12.75" hidden="1" customHeight="1" thickBot="1" x14ac:dyDescent="0.25"/>
    <row r="170" spans="1:16" s="48" customFormat="1" ht="12.75" hidden="1" customHeight="1" thickBot="1" x14ac:dyDescent="0.25">
      <c r="B170" s="188" t="s">
        <v>42</v>
      </c>
      <c r="C170" s="189"/>
      <c r="D170" s="190"/>
      <c r="E170" s="188" t="s">
        <v>0</v>
      </c>
      <c r="F170" s="189"/>
      <c r="G170" s="190"/>
      <c r="I170" s="193" t="s">
        <v>1</v>
      </c>
      <c r="J170" s="194"/>
      <c r="K170" s="50" t="s">
        <v>2</v>
      </c>
      <c r="L170" s="3" t="s">
        <v>3</v>
      </c>
      <c r="M170" s="51" t="e">
        <f>#REF!</f>
        <v>#REF!</v>
      </c>
      <c r="N170" s="52" t="s">
        <v>4</v>
      </c>
      <c r="O170" s="1" t="s">
        <v>5</v>
      </c>
      <c r="P170" s="2" t="s">
        <v>6</v>
      </c>
    </row>
    <row r="171" spans="1:16" s="48" customFormat="1" ht="12.75" hidden="1" customHeight="1" thickBot="1" x14ac:dyDescent="0.25">
      <c r="B171" s="3" t="s">
        <v>7</v>
      </c>
      <c r="C171" s="53">
        <v>0.22500000000000001</v>
      </c>
      <c r="D171" s="54"/>
      <c r="E171" s="3" t="s">
        <v>7</v>
      </c>
      <c r="F171" s="55">
        <f>$J$178</f>
        <v>0.10340000000000001</v>
      </c>
      <c r="G171" s="56"/>
      <c r="I171" s="57" t="s">
        <v>2</v>
      </c>
      <c r="J171" s="58" t="s">
        <v>6</v>
      </c>
      <c r="K171" s="59">
        <v>6</v>
      </c>
      <c r="L171" s="14" t="s">
        <v>41</v>
      </c>
      <c r="M171" s="60">
        <v>1</v>
      </c>
      <c r="N171" s="61" t="e">
        <f>IF(C173&gt;999,90,IF(C173&gt;499,90,"Min $500"))</f>
        <v>#REF!</v>
      </c>
      <c r="O171" s="62" t="s">
        <v>8</v>
      </c>
      <c r="P171" s="63" t="s">
        <v>9</v>
      </c>
    </row>
    <row r="172" spans="1:16" s="48" customFormat="1" ht="13.5" hidden="1" customHeight="1" thickBot="1" x14ac:dyDescent="0.25">
      <c r="B172" s="64" t="s">
        <v>10</v>
      </c>
      <c r="C172" s="65"/>
      <c r="D172" s="66"/>
      <c r="E172" s="64" t="s">
        <v>10</v>
      </c>
      <c r="F172" s="67"/>
      <c r="G172" s="66"/>
      <c r="I172" s="68">
        <v>5</v>
      </c>
      <c r="J172" s="69">
        <v>3</v>
      </c>
      <c r="K172" s="70">
        <v>12</v>
      </c>
      <c r="L172" s="14" t="s">
        <v>37</v>
      </c>
      <c r="M172" s="71" t="e">
        <f>M170*1.15-M170</f>
        <v>#REF!</v>
      </c>
      <c r="N172" s="60" t="s">
        <v>2</v>
      </c>
      <c r="O172" s="72" t="s">
        <v>11</v>
      </c>
      <c r="P172" s="73" t="s">
        <v>8</v>
      </c>
    </row>
    <row r="173" spans="1:16" s="48" customFormat="1" hidden="1" x14ac:dyDescent="0.2">
      <c r="B173" s="4" t="s">
        <v>12</v>
      </c>
      <c r="C173" s="74" t="e">
        <f>#REF!</f>
        <v>#REF!</v>
      </c>
      <c r="D173" s="75"/>
      <c r="E173" s="4" t="s">
        <v>12</v>
      </c>
      <c r="F173" s="74" t="e">
        <f>#REF!</f>
        <v>#REF!</v>
      </c>
      <c r="G173" s="75"/>
      <c r="I173" s="76">
        <v>6</v>
      </c>
      <c r="J173" s="77" t="b">
        <f>IF(I172=1, IF(J172=1, K183, IF(I172=1, IF(J172=2,L183,))))</f>
        <v>0</v>
      </c>
      <c r="K173" s="78">
        <v>18</v>
      </c>
      <c r="L173" s="14" t="s">
        <v>38</v>
      </c>
      <c r="M173" s="71" t="e">
        <f>M170*3/23</f>
        <v>#REF!</v>
      </c>
      <c r="N173" s="60">
        <f>IF(I172=1,6,IF(I172=2,12,IF(I172=3,18,IF(I172=4,24,IF(I172=5,36,IF(I172=6,48,IF(I172=7,60,0)))))))</f>
        <v>36</v>
      </c>
      <c r="O173" s="72" t="s">
        <v>13</v>
      </c>
      <c r="P173" s="73" t="s">
        <v>11</v>
      </c>
    </row>
    <row r="174" spans="1:16" s="48" customFormat="1" hidden="1" x14ac:dyDescent="0.2">
      <c r="B174" s="4" t="s">
        <v>14</v>
      </c>
      <c r="C174" s="79">
        <v>0</v>
      </c>
      <c r="D174" s="80"/>
      <c r="E174" s="4" t="s">
        <v>14</v>
      </c>
      <c r="F174" s="79" t="e">
        <f>IF(#REF!=1,#REF!, IF(#REF!=2,#REF!, IF(#REF!=3,#REF!, IF(#REF!=4,#REF!, IF(#REF!=5,#REF!,0)))))</f>
        <v>#REF!</v>
      </c>
      <c r="G174" s="80"/>
      <c r="I174" s="81">
        <v>12</v>
      </c>
      <c r="J174" s="82" t="b">
        <f>IF(I172=2, IF(J172=1,K184, IF(J172=2, L184, IF(J172=3,M184))))</f>
        <v>0</v>
      </c>
      <c r="K174" s="78">
        <v>24</v>
      </c>
      <c r="L174" s="14" t="s">
        <v>39</v>
      </c>
      <c r="M174" s="83" t="e">
        <f>IF(M171=1,M172, IF(M171=2,M173))</f>
        <v>#REF!</v>
      </c>
      <c r="N174" s="84" t="s">
        <v>15</v>
      </c>
      <c r="O174" s="72" t="s">
        <v>16</v>
      </c>
      <c r="P174" s="73" t="s">
        <v>13</v>
      </c>
    </row>
    <row r="175" spans="1:16" s="48" customFormat="1" ht="13.5" hidden="1" thickBot="1" x14ac:dyDescent="0.25">
      <c r="B175" s="4" t="s">
        <v>17</v>
      </c>
      <c r="C175" s="74">
        <v>0</v>
      </c>
      <c r="D175" s="85"/>
      <c r="E175" s="4" t="s">
        <v>17</v>
      </c>
      <c r="F175" s="74" t="e">
        <f>IF(#REF!=1,F173*F174,0)</f>
        <v>#REF!</v>
      </c>
      <c r="G175" s="85"/>
      <c r="I175" s="81">
        <v>18</v>
      </c>
      <c r="J175" s="82" t="b">
        <f>IF(I172=3, IF(J172=1,K185, IF(J172=2,L185, IF(J172=3,M185, IF(J172=4,N185)))))</f>
        <v>0</v>
      </c>
      <c r="K175" s="86">
        <v>36</v>
      </c>
      <c r="L175" s="15" t="s">
        <v>40</v>
      </c>
      <c r="M175" s="87" t="e">
        <f>IF(M171=1,M170+M172, IF(M171=2,M170))</f>
        <v>#REF!</v>
      </c>
      <c r="N175" s="88">
        <f>IF(J172=1,3,IF(J172=2,6,IF(J172=3,12,IF(J172=4,18,IF(J172=5,24,IF(J172=6,36,0))))))</f>
        <v>12</v>
      </c>
      <c r="O175" s="89" t="s">
        <v>18</v>
      </c>
      <c r="P175" s="73" t="s">
        <v>16</v>
      </c>
    </row>
    <row r="176" spans="1:16" s="48" customFormat="1" ht="13.5" hidden="1" thickBot="1" x14ac:dyDescent="0.25">
      <c r="B176" s="4" t="s">
        <v>4</v>
      </c>
      <c r="C176" s="90" t="e">
        <f>$N$171</f>
        <v>#REF!</v>
      </c>
      <c r="D176" s="85"/>
      <c r="E176" s="4" t="s">
        <v>4</v>
      </c>
      <c r="F176" s="90" t="e">
        <f>$N$171</f>
        <v>#REF!</v>
      </c>
      <c r="G176" s="85"/>
      <c r="I176" s="81">
        <v>24</v>
      </c>
      <c r="J176" s="82" t="b">
        <f>IF(I172=4,IF(J172=1,K186, IF(J172=2,L186, IF(J172=3,M186, IF(J172=4,N186, IF(J172=5,O186))))))</f>
        <v>0</v>
      </c>
      <c r="O176" s="91"/>
      <c r="P176" s="92" t="s">
        <v>18</v>
      </c>
    </row>
    <row r="177" spans="2:16" s="48" customFormat="1" ht="13.5" hidden="1" thickBot="1" x14ac:dyDescent="0.25">
      <c r="B177" s="5" t="s">
        <v>19</v>
      </c>
      <c r="C177" s="74" t="e">
        <f>C173+C175+C176</f>
        <v>#REF!</v>
      </c>
      <c r="D177" s="93" t="s">
        <v>20</v>
      </c>
      <c r="E177" s="5" t="s">
        <v>19</v>
      </c>
      <c r="F177" s="74" t="e">
        <f>F173+F175+F176</f>
        <v>#REF!</v>
      </c>
      <c r="G177" s="93" t="s">
        <v>20</v>
      </c>
      <c r="I177" s="68">
        <v>36</v>
      </c>
      <c r="J177" s="94">
        <f>IF(I172=5, IF(J172=1,K187, IF(J172=2,L187, IF(J172=3,M187, IF(J172=4,N187, IF(J172=5,O187, IF(J172=6,P187)))))))</f>
        <v>0.10340000000000001</v>
      </c>
    </row>
    <row r="178" spans="2:16" s="48" customFormat="1" ht="13.5" hidden="1" thickBot="1" x14ac:dyDescent="0.25">
      <c r="B178" s="4" t="s">
        <v>21</v>
      </c>
      <c r="C178" s="95" t="e">
        <f>#REF!</f>
        <v>#REF!</v>
      </c>
      <c r="D178" s="93" t="s">
        <v>22</v>
      </c>
      <c r="E178" s="4" t="s">
        <v>21</v>
      </c>
      <c r="F178" s="95" t="e">
        <f>#REF!</f>
        <v>#REF!</v>
      </c>
      <c r="G178" s="93" t="s">
        <v>22</v>
      </c>
      <c r="I178" s="96"/>
      <c r="J178" s="97">
        <f>SUM(J173:J177)</f>
        <v>0.10340000000000001</v>
      </c>
    </row>
    <row r="179" spans="2:16" s="48" customFormat="1" hidden="1" x14ac:dyDescent="0.2">
      <c r="B179" s="5" t="s">
        <v>23</v>
      </c>
      <c r="C179" s="98" t="e">
        <f>C177-C178</f>
        <v>#REF!</v>
      </c>
      <c r="D179" s="99" t="s">
        <v>24</v>
      </c>
      <c r="E179" s="5" t="s">
        <v>23</v>
      </c>
      <c r="F179" s="98" t="e">
        <f>F177-F178</f>
        <v>#REF!</v>
      </c>
      <c r="G179" s="99" t="s">
        <v>24</v>
      </c>
      <c r="M179" s="100"/>
    </row>
    <row r="180" spans="2:16" s="48" customFormat="1" ht="13.5" hidden="1" thickBot="1" x14ac:dyDescent="0.25">
      <c r="B180" s="4" t="s">
        <v>25</v>
      </c>
      <c r="C180" s="98" t="e">
        <f>C183-C179</f>
        <v>#REF!</v>
      </c>
      <c r="D180" s="101"/>
      <c r="E180" s="4" t="s">
        <v>25</v>
      </c>
      <c r="F180" s="98" t="e">
        <f>F183-F179</f>
        <v>#REF!</v>
      </c>
      <c r="G180" s="101"/>
    </row>
    <row r="181" spans="2:16" s="48" customFormat="1" ht="13.5" hidden="1" thickBot="1" x14ac:dyDescent="0.25">
      <c r="B181" s="5" t="s">
        <v>26</v>
      </c>
      <c r="C181" s="102" t="e">
        <f>C184-C179</f>
        <v>#REF!</v>
      </c>
      <c r="D181" s="93" t="s">
        <v>27</v>
      </c>
      <c r="E181" s="5" t="s">
        <v>26</v>
      </c>
      <c r="F181" s="102" t="e">
        <f>F184-F179</f>
        <v>#REF!</v>
      </c>
      <c r="G181" s="93" t="s">
        <v>27</v>
      </c>
      <c r="I181" s="28"/>
      <c r="J181" s="29"/>
      <c r="K181" s="198" t="s">
        <v>28</v>
      </c>
      <c r="L181" s="199"/>
      <c r="M181" s="199"/>
      <c r="N181" s="199"/>
      <c r="O181" s="199"/>
      <c r="P181" s="200"/>
    </row>
    <row r="182" spans="2:16" s="48" customFormat="1" ht="13.5" hidden="1" thickBot="1" x14ac:dyDescent="0.25">
      <c r="B182" s="4" t="s">
        <v>30</v>
      </c>
      <c r="C182" s="98" t="e">
        <f>C180</f>
        <v>#REF!</v>
      </c>
      <c r="D182" s="101"/>
      <c r="E182" s="4" t="s">
        <v>30</v>
      </c>
      <c r="F182" s="98" t="e">
        <f>F180</f>
        <v>#REF!</v>
      </c>
      <c r="G182" s="101"/>
      <c r="I182" s="195" t="s">
        <v>2</v>
      </c>
      <c r="J182" s="30"/>
      <c r="K182" s="31" t="s">
        <v>9</v>
      </c>
      <c r="L182" s="32" t="s">
        <v>8</v>
      </c>
      <c r="M182" s="32" t="s">
        <v>11</v>
      </c>
      <c r="N182" s="32" t="s">
        <v>13</v>
      </c>
      <c r="O182" s="32" t="s">
        <v>16</v>
      </c>
      <c r="P182" s="33" t="s">
        <v>18</v>
      </c>
    </row>
    <row r="183" spans="2:16" s="48" customFormat="1" hidden="1" x14ac:dyDescent="0.2">
      <c r="B183" s="5" t="s">
        <v>31</v>
      </c>
      <c r="C183" s="102" t="e">
        <f>C187*N173</f>
        <v>#REF!</v>
      </c>
      <c r="D183" s="93" t="s">
        <v>32</v>
      </c>
      <c r="E183" s="5" t="s">
        <v>31</v>
      </c>
      <c r="F183" s="102" t="e">
        <f>F187*N173</f>
        <v>#REF!</v>
      </c>
      <c r="G183" s="93" t="s">
        <v>32</v>
      </c>
      <c r="I183" s="196"/>
      <c r="J183" s="34">
        <v>6</v>
      </c>
      <c r="K183" s="16">
        <v>6.4399999999999999E-2</v>
      </c>
      <c r="L183" s="17">
        <v>0</v>
      </c>
      <c r="M183" s="18" t="s">
        <v>33</v>
      </c>
      <c r="N183" s="18" t="s">
        <v>33</v>
      </c>
      <c r="O183" s="18" t="s">
        <v>33</v>
      </c>
      <c r="P183" s="19" t="s">
        <v>33</v>
      </c>
    </row>
    <row r="184" spans="2:16" s="48" customFormat="1" hidden="1" x14ac:dyDescent="0.2">
      <c r="B184" s="5" t="s">
        <v>34</v>
      </c>
      <c r="C184" s="74" t="e">
        <f>C183+C178</f>
        <v>#REF!</v>
      </c>
      <c r="D184" s="99" t="s">
        <v>35</v>
      </c>
      <c r="E184" s="5" t="s">
        <v>34</v>
      </c>
      <c r="F184" s="74" t="e">
        <f>F183+F178</f>
        <v>#REF!</v>
      </c>
      <c r="G184" s="99" t="s">
        <v>35</v>
      </c>
      <c r="I184" s="196"/>
      <c r="J184" s="35">
        <v>12</v>
      </c>
      <c r="K184" s="20">
        <v>0.13039999999999999</v>
      </c>
      <c r="L184" s="21">
        <v>6.0900000000000003E-2</v>
      </c>
      <c r="M184" s="22">
        <v>0</v>
      </c>
      <c r="N184" s="22" t="s">
        <v>33</v>
      </c>
      <c r="O184" s="22" t="s">
        <v>33</v>
      </c>
      <c r="P184" s="23" t="s">
        <v>33</v>
      </c>
    </row>
    <row r="185" spans="2:16" s="48" customFormat="1" hidden="1" x14ac:dyDescent="0.2">
      <c r="B185" s="4" t="s">
        <v>36</v>
      </c>
      <c r="C185" s="103"/>
      <c r="D185" s="104"/>
      <c r="E185" s="4" t="s">
        <v>36</v>
      </c>
      <c r="F185" s="103"/>
      <c r="G185" s="104"/>
      <c r="I185" s="196"/>
      <c r="J185" s="35">
        <v>18</v>
      </c>
      <c r="K185" s="20">
        <v>0.1588</v>
      </c>
      <c r="L185" s="21">
        <v>0.1036</v>
      </c>
      <c r="M185" s="22">
        <v>2.7900000000000001E-2</v>
      </c>
      <c r="N185" s="22">
        <v>0</v>
      </c>
      <c r="O185" s="22" t="s">
        <v>33</v>
      </c>
      <c r="P185" s="23" t="s">
        <v>33</v>
      </c>
    </row>
    <row r="186" spans="2:16" s="48" customFormat="1" hidden="1" x14ac:dyDescent="0.2">
      <c r="B186" s="6" t="s">
        <v>7</v>
      </c>
      <c r="C186" s="105">
        <f>C171</f>
        <v>0.22500000000000001</v>
      </c>
      <c r="D186" s="75"/>
      <c r="E186" s="6" t="s">
        <v>7</v>
      </c>
      <c r="F186" s="105">
        <f>F171</f>
        <v>0.10340000000000001</v>
      </c>
      <c r="G186" s="75"/>
      <c r="I186" s="196"/>
      <c r="J186" s="35">
        <v>24</v>
      </c>
      <c r="K186" s="20">
        <v>0.17430000000000001</v>
      </c>
      <c r="L186" s="21">
        <v>0.12959999999999999</v>
      </c>
      <c r="M186" s="22">
        <v>5.9400000000000001E-2</v>
      </c>
      <c r="N186" s="22">
        <v>1.5900000000000001E-2</v>
      </c>
      <c r="O186" s="22">
        <v>0</v>
      </c>
      <c r="P186" s="23" t="s">
        <v>33</v>
      </c>
    </row>
    <row r="187" spans="2:16" s="48" customFormat="1" ht="13.5" hidden="1" thickBot="1" x14ac:dyDescent="0.25">
      <c r="B187" s="7" t="s">
        <v>29</v>
      </c>
      <c r="C187" s="106" t="e">
        <f>PMT(C171/12,N173,-C179)</f>
        <v>#REF!</v>
      </c>
      <c r="D187" s="107"/>
      <c r="E187" s="7" t="s">
        <v>29</v>
      </c>
      <c r="F187" s="106" t="e">
        <f>PMT(F171/12,N173,-F179)</f>
        <v>#REF!</v>
      </c>
      <c r="G187" s="107"/>
      <c r="I187" s="197"/>
      <c r="J187" s="36">
        <v>36</v>
      </c>
      <c r="K187" s="24">
        <v>0.19070000000000001</v>
      </c>
      <c r="L187" s="25">
        <v>0.15890000000000001</v>
      </c>
      <c r="M187" s="26">
        <v>0.10340000000000001</v>
      </c>
      <c r="N187" s="26">
        <v>5.91E-2</v>
      </c>
      <c r="O187" s="26">
        <v>2.69E-2</v>
      </c>
      <c r="P187" s="27">
        <v>0</v>
      </c>
    </row>
    <row r="188" spans="2:16" s="48" customFormat="1" ht="13.5" hidden="1" thickBot="1" x14ac:dyDescent="0.25">
      <c r="B188" s="102"/>
      <c r="C188" s="102"/>
      <c r="D188" s="108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 spans="2:16" s="48" customFormat="1" ht="13.5" hidden="1" thickBot="1" x14ac:dyDescent="0.25">
      <c r="B189" s="188" t="s">
        <v>43</v>
      </c>
      <c r="C189" s="189"/>
      <c r="D189" s="190"/>
      <c r="E189" s="188" t="s">
        <v>0</v>
      </c>
      <c r="F189" s="189"/>
      <c r="G189" s="190"/>
      <c r="I189" s="193" t="s">
        <v>1</v>
      </c>
      <c r="J189" s="194"/>
      <c r="K189" s="50" t="s">
        <v>2</v>
      </c>
      <c r="L189" s="3" t="s">
        <v>3</v>
      </c>
      <c r="M189" s="109" t="e">
        <f>#REF!</f>
        <v>#REF!</v>
      </c>
      <c r="N189" s="52" t="s">
        <v>4</v>
      </c>
      <c r="O189" s="1" t="s">
        <v>5</v>
      </c>
      <c r="P189" s="2" t="s">
        <v>6</v>
      </c>
    </row>
    <row r="190" spans="2:16" s="48" customFormat="1" ht="13.5" hidden="1" thickBot="1" x14ac:dyDescent="0.25">
      <c r="B190" s="3" t="s">
        <v>7</v>
      </c>
      <c r="C190" s="110">
        <f>$C$171</f>
        <v>0.22500000000000001</v>
      </c>
      <c r="D190" s="54"/>
      <c r="E190" s="3" t="s">
        <v>7</v>
      </c>
      <c r="F190" s="55">
        <f>J197</f>
        <v>0.10340000000000001</v>
      </c>
      <c r="G190" s="56"/>
      <c r="I190" s="57" t="s">
        <v>2</v>
      </c>
      <c r="J190" s="58" t="s">
        <v>6</v>
      </c>
      <c r="K190" s="59">
        <v>6</v>
      </c>
      <c r="L190" s="14" t="s">
        <v>41</v>
      </c>
      <c r="M190" s="60">
        <v>1</v>
      </c>
      <c r="N190" s="61" t="e">
        <f>IF(C192&gt;999,90,IF(C192&gt;499,90,"Min $500"))</f>
        <v>#REF!</v>
      </c>
      <c r="O190" s="62" t="s">
        <v>8</v>
      </c>
      <c r="P190" s="63" t="s">
        <v>9</v>
      </c>
    </row>
    <row r="191" spans="2:16" s="48" customFormat="1" ht="13.5" hidden="1" thickBot="1" x14ac:dyDescent="0.25">
      <c r="B191" s="64" t="s">
        <v>10</v>
      </c>
      <c r="C191" s="65"/>
      <c r="D191" s="66"/>
      <c r="E191" s="64" t="s">
        <v>10</v>
      </c>
      <c r="F191" s="67"/>
      <c r="G191" s="66"/>
      <c r="I191" s="68">
        <v>5</v>
      </c>
      <c r="J191" s="69">
        <v>3</v>
      </c>
      <c r="K191" s="70">
        <v>12</v>
      </c>
      <c r="L191" s="14" t="s">
        <v>37</v>
      </c>
      <c r="M191" s="71" t="e">
        <f>M189*1.15-M189</f>
        <v>#REF!</v>
      </c>
      <c r="N191" s="60" t="s">
        <v>2</v>
      </c>
      <c r="O191" s="72" t="s">
        <v>11</v>
      </c>
      <c r="P191" s="73" t="s">
        <v>8</v>
      </c>
    </row>
    <row r="192" spans="2:16" s="48" customFormat="1" hidden="1" x14ac:dyDescent="0.2">
      <c r="B192" s="4" t="s">
        <v>12</v>
      </c>
      <c r="C192" s="74" t="e">
        <f>#REF!</f>
        <v>#REF!</v>
      </c>
      <c r="D192" s="75"/>
      <c r="E192" s="4" t="s">
        <v>12</v>
      </c>
      <c r="F192" s="74" t="e">
        <f>#REF!</f>
        <v>#REF!</v>
      </c>
      <c r="G192" s="75"/>
      <c r="I192" s="76">
        <v>6</v>
      </c>
      <c r="J192" s="77" t="b">
        <f>IF(I191=1, IF(J191=1, K201, IF(I191=1, IF(J191=2,L201,))))</f>
        <v>0</v>
      </c>
      <c r="K192" s="78">
        <v>18</v>
      </c>
      <c r="L192" s="14" t="s">
        <v>38</v>
      </c>
      <c r="M192" s="71" t="e">
        <f>M189*3/23</f>
        <v>#REF!</v>
      </c>
      <c r="N192" s="60">
        <f>IF(I191=1,6,IF(I191=2,12,IF(I191=3,18,IF(I191=4,24,IF(I191=5,36,IF(I191=6,48,IF(I191=7,60,0)))))))</f>
        <v>36</v>
      </c>
      <c r="O192" s="72" t="s">
        <v>13</v>
      </c>
      <c r="P192" s="73" t="s">
        <v>11</v>
      </c>
    </row>
    <row r="193" spans="2:16" s="48" customFormat="1" hidden="1" x14ac:dyDescent="0.2">
      <c r="B193" s="4" t="s">
        <v>14</v>
      </c>
      <c r="C193" s="79">
        <v>0</v>
      </c>
      <c r="D193" s="80"/>
      <c r="E193" s="4" t="s">
        <v>14</v>
      </c>
      <c r="F193" s="79" t="e">
        <f>IF(#REF!=1,#REF!, IF(#REF!=2,#REF!, IF(#REF!=3,#REF!, IF(#REF!=4,#REF!, IF(#REF!=5,#REF!,0)))))</f>
        <v>#REF!</v>
      </c>
      <c r="G193" s="80"/>
      <c r="I193" s="81">
        <v>12</v>
      </c>
      <c r="J193" s="82" t="b">
        <f>IF(I191=2, IF(J191=1,K202, IF(J191=2, L202, IF(J191=3,M202))))</f>
        <v>0</v>
      </c>
      <c r="K193" s="78">
        <v>24</v>
      </c>
      <c r="L193" s="14" t="s">
        <v>39</v>
      </c>
      <c r="M193" s="83" t="e">
        <f>IF(M190=1,M191, IF(M190=2,M192))</f>
        <v>#REF!</v>
      </c>
      <c r="N193" s="84" t="s">
        <v>15</v>
      </c>
      <c r="O193" s="72" t="s">
        <v>16</v>
      </c>
      <c r="P193" s="73" t="s">
        <v>13</v>
      </c>
    </row>
    <row r="194" spans="2:16" s="48" customFormat="1" ht="13.5" hidden="1" thickBot="1" x14ac:dyDescent="0.25">
      <c r="B194" s="4" t="s">
        <v>17</v>
      </c>
      <c r="C194" s="74">
        <v>0</v>
      </c>
      <c r="D194" s="85"/>
      <c r="E194" s="4" t="s">
        <v>17</v>
      </c>
      <c r="F194" s="74" t="e">
        <f>IF(#REF!=1,F192*F193,0)</f>
        <v>#REF!</v>
      </c>
      <c r="G194" s="85"/>
      <c r="I194" s="81">
        <v>18</v>
      </c>
      <c r="J194" s="82" t="b">
        <f>IF(I191=3, IF(J191=1,K203, IF(J191=2,L203, IF(J191=3,M203, IF(J191=4,N203)))))</f>
        <v>0</v>
      </c>
      <c r="K194" s="86">
        <v>36</v>
      </c>
      <c r="L194" s="15" t="s">
        <v>40</v>
      </c>
      <c r="M194" s="87" t="e">
        <f>IF(M190=1,M189+M191, IF(M190=2,M189))</f>
        <v>#REF!</v>
      </c>
      <c r="N194" s="88">
        <v>1</v>
      </c>
      <c r="O194" s="89" t="s">
        <v>18</v>
      </c>
      <c r="P194" s="73" t="s">
        <v>16</v>
      </c>
    </row>
    <row r="195" spans="2:16" s="48" customFormat="1" ht="13.5" hidden="1" thickBot="1" x14ac:dyDescent="0.25">
      <c r="B195" s="4" t="s">
        <v>4</v>
      </c>
      <c r="C195" s="90" t="e">
        <f>N190</f>
        <v>#REF!</v>
      </c>
      <c r="D195" s="85"/>
      <c r="E195" s="4" t="s">
        <v>4</v>
      </c>
      <c r="F195" s="90" t="e">
        <f>N190</f>
        <v>#REF!</v>
      </c>
      <c r="G195" s="85"/>
      <c r="I195" s="81">
        <v>24</v>
      </c>
      <c r="J195" s="82" t="b">
        <f>IF(I191=4,IF(J191=1,K204, IF(J191=2,L204, IF(J191=3,M204, IF(J191=4,N204, IF(J191=5,O204))))))</f>
        <v>0</v>
      </c>
      <c r="O195" s="91"/>
      <c r="P195" s="92" t="s">
        <v>18</v>
      </c>
    </row>
    <row r="196" spans="2:16" s="48" customFormat="1" ht="13.5" hidden="1" thickBot="1" x14ac:dyDescent="0.25">
      <c r="B196" s="5" t="s">
        <v>19</v>
      </c>
      <c r="C196" s="74" t="e">
        <f>C192+C194+C195</f>
        <v>#REF!</v>
      </c>
      <c r="D196" s="93" t="s">
        <v>20</v>
      </c>
      <c r="E196" s="5" t="s">
        <v>19</v>
      </c>
      <c r="F196" s="74" t="e">
        <f>F192+F194+F195</f>
        <v>#REF!</v>
      </c>
      <c r="G196" s="93" t="s">
        <v>20</v>
      </c>
      <c r="I196" s="68">
        <v>36</v>
      </c>
      <c r="J196" s="94">
        <f>IF(I191=5, IF(J191=1,K205, IF(J191=2,L205, IF(J191=3,M205, IF(J191=4,N205, IF(J191=5,O205, IF(J191=6,P205)))))))</f>
        <v>0.10340000000000001</v>
      </c>
    </row>
    <row r="197" spans="2:16" s="48" customFormat="1" ht="13.5" hidden="1" thickBot="1" x14ac:dyDescent="0.25">
      <c r="B197" s="4" t="s">
        <v>21</v>
      </c>
      <c r="C197" s="111" t="e">
        <f>#REF!</f>
        <v>#REF!</v>
      </c>
      <c r="D197" s="93" t="s">
        <v>22</v>
      </c>
      <c r="E197" s="4" t="s">
        <v>21</v>
      </c>
      <c r="F197" s="111" t="e">
        <f>#REF!</f>
        <v>#REF!</v>
      </c>
      <c r="G197" s="93" t="s">
        <v>22</v>
      </c>
      <c r="I197" s="96"/>
      <c r="J197" s="97">
        <f>SUM(J192:J196)</f>
        <v>0.10340000000000001</v>
      </c>
    </row>
    <row r="198" spans="2:16" s="48" customFormat="1" ht="13.5" hidden="1" thickBot="1" x14ac:dyDescent="0.25">
      <c r="B198" s="5" t="s">
        <v>23</v>
      </c>
      <c r="C198" s="98" t="e">
        <f>C196-C197</f>
        <v>#REF!</v>
      </c>
      <c r="D198" s="99" t="s">
        <v>24</v>
      </c>
      <c r="E198" s="5" t="s">
        <v>23</v>
      </c>
      <c r="F198" s="98" t="e">
        <f>F196-F197</f>
        <v>#REF!</v>
      </c>
      <c r="G198" s="99" t="s">
        <v>24</v>
      </c>
      <c r="M198" s="100"/>
    </row>
    <row r="199" spans="2:16" s="48" customFormat="1" ht="13.5" hidden="1" thickBot="1" x14ac:dyDescent="0.25">
      <c r="B199" s="4" t="s">
        <v>25</v>
      </c>
      <c r="C199" s="98" t="e">
        <f>C202-C198</f>
        <v>#REF!</v>
      </c>
      <c r="D199" s="101"/>
      <c r="E199" s="4" t="s">
        <v>25</v>
      </c>
      <c r="F199" s="98" t="e">
        <f>F202-F198</f>
        <v>#REF!</v>
      </c>
      <c r="G199" s="101"/>
      <c r="I199" s="28"/>
      <c r="J199" s="29"/>
      <c r="K199" s="198" t="s">
        <v>28</v>
      </c>
      <c r="L199" s="199"/>
      <c r="M199" s="199"/>
      <c r="N199" s="199"/>
      <c r="O199" s="199"/>
      <c r="P199" s="200"/>
    </row>
    <row r="200" spans="2:16" s="48" customFormat="1" ht="13.5" hidden="1" thickBot="1" x14ac:dyDescent="0.25">
      <c r="B200" s="5" t="s">
        <v>26</v>
      </c>
      <c r="C200" s="102" t="e">
        <f>C203-C198</f>
        <v>#REF!</v>
      </c>
      <c r="D200" s="93" t="s">
        <v>27</v>
      </c>
      <c r="E200" s="5" t="s">
        <v>26</v>
      </c>
      <c r="F200" s="102" t="e">
        <f>F203-F198</f>
        <v>#REF!</v>
      </c>
      <c r="G200" s="93" t="s">
        <v>27</v>
      </c>
      <c r="I200" s="195" t="s">
        <v>2</v>
      </c>
      <c r="J200" s="30"/>
      <c r="K200" s="31" t="s">
        <v>9</v>
      </c>
      <c r="L200" s="32" t="s">
        <v>8</v>
      </c>
      <c r="M200" s="32" t="s">
        <v>11</v>
      </c>
      <c r="N200" s="32" t="s">
        <v>13</v>
      </c>
      <c r="O200" s="32" t="s">
        <v>16</v>
      </c>
      <c r="P200" s="33" t="s">
        <v>18</v>
      </c>
    </row>
    <row r="201" spans="2:16" s="48" customFormat="1" hidden="1" x14ac:dyDescent="0.2">
      <c r="B201" s="4" t="s">
        <v>30</v>
      </c>
      <c r="C201" s="98" t="e">
        <f>C199</f>
        <v>#REF!</v>
      </c>
      <c r="D201" s="101"/>
      <c r="E201" s="4" t="s">
        <v>30</v>
      </c>
      <c r="F201" s="98" t="e">
        <f>F199</f>
        <v>#REF!</v>
      </c>
      <c r="G201" s="101"/>
      <c r="I201" s="196"/>
      <c r="J201" s="34">
        <v>6</v>
      </c>
      <c r="K201" s="37">
        <f t="shared" ref="K201:P205" si="0">K183</f>
        <v>6.4399999999999999E-2</v>
      </c>
      <c r="L201" s="38">
        <f t="shared" si="0"/>
        <v>0</v>
      </c>
      <c r="M201" s="39" t="str">
        <f t="shared" si="0"/>
        <v>-</v>
      </c>
      <c r="N201" s="39" t="str">
        <f t="shared" si="0"/>
        <v>-</v>
      </c>
      <c r="O201" s="39" t="str">
        <f t="shared" si="0"/>
        <v>-</v>
      </c>
      <c r="P201" s="40" t="str">
        <f t="shared" si="0"/>
        <v>-</v>
      </c>
    </row>
    <row r="202" spans="2:16" s="48" customFormat="1" hidden="1" x14ac:dyDescent="0.2">
      <c r="B202" s="5" t="s">
        <v>31</v>
      </c>
      <c r="C202" s="102" t="e">
        <f>C205*N192</f>
        <v>#REF!</v>
      </c>
      <c r="D202" s="93" t="s">
        <v>32</v>
      </c>
      <c r="E202" s="5" t="s">
        <v>31</v>
      </c>
      <c r="F202" s="102" t="e">
        <f>F205*N192</f>
        <v>#REF!</v>
      </c>
      <c r="G202" s="93" t="s">
        <v>32</v>
      </c>
      <c r="I202" s="196"/>
      <c r="J202" s="35">
        <v>12</v>
      </c>
      <c r="K202" s="41">
        <f t="shared" si="0"/>
        <v>0.13039999999999999</v>
      </c>
      <c r="L202" s="42">
        <f t="shared" si="0"/>
        <v>6.0900000000000003E-2</v>
      </c>
      <c r="M202" s="43">
        <f t="shared" si="0"/>
        <v>0</v>
      </c>
      <c r="N202" s="43" t="str">
        <f t="shared" si="0"/>
        <v>-</v>
      </c>
      <c r="O202" s="43" t="str">
        <f t="shared" si="0"/>
        <v>-</v>
      </c>
      <c r="P202" s="44" t="str">
        <f t="shared" si="0"/>
        <v>-</v>
      </c>
    </row>
    <row r="203" spans="2:16" s="48" customFormat="1" hidden="1" x14ac:dyDescent="0.2">
      <c r="B203" s="5" t="s">
        <v>34</v>
      </c>
      <c r="C203" s="74" t="e">
        <f>C202+C197</f>
        <v>#REF!</v>
      </c>
      <c r="D203" s="99" t="s">
        <v>35</v>
      </c>
      <c r="E203" s="5" t="s">
        <v>34</v>
      </c>
      <c r="F203" s="74" t="e">
        <f>F202+F197</f>
        <v>#REF!</v>
      </c>
      <c r="G203" s="99" t="s">
        <v>35</v>
      </c>
      <c r="I203" s="196"/>
      <c r="J203" s="35">
        <v>18</v>
      </c>
      <c r="K203" s="41">
        <f t="shared" si="0"/>
        <v>0.1588</v>
      </c>
      <c r="L203" s="42">
        <f t="shared" si="0"/>
        <v>0.1036</v>
      </c>
      <c r="M203" s="43">
        <f t="shared" si="0"/>
        <v>2.7900000000000001E-2</v>
      </c>
      <c r="N203" s="43">
        <f t="shared" si="0"/>
        <v>0</v>
      </c>
      <c r="O203" s="43" t="str">
        <f t="shared" si="0"/>
        <v>-</v>
      </c>
      <c r="P203" s="44" t="str">
        <f t="shared" si="0"/>
        <v>-</v>
      </c>
    </row>
    <row r="204" spans="2:16" s="48" customFormat="1" hidden="1" x14ac:dyDescent="0.2">
      <c r="B204" s="6" t="s">
        <v>7</v>
      </c>
      <c r="C204" s="105" t="e">
        <f>#REF!</f>
        <v>#REF!</v>
      </c>
      <c r="D204" s="75"/>
      <c r="E204" s="6" t="s">
        <v>7</v>
      </c>
      <c r="F204" s="105">
        <f>F190</f>
        <v>0.10340000000000001</v>
      </c>
      <c r="G204" s="75"/>
      <c r="I204" s="196"/>
      <c r="J204" s="35">
        <v>24</v>
      </c>
      <c r="K204" s="41">
        <f t="shared" si="0"/>
        <v>0.17430000000000001</v>
      </c>
      <c r="L204" s="42">
        <f t="shared" si="0"/>
        <v>0.12959999999999999</v>
      </c>
      <c r="M204" s="43">
        <f t="shared" si="0"/>
        <v>5.9400000000000001E-2</v>
      </c>
      <c r="N204" s="43">
        <f t="shared" si="0"/>
        <v>1.5900000000000001E-2</v>
      </c>
      <c r="O204" s="43">
        <f t="shared" si="0"/>
        <v>0</v>
      </c>
      <c r="P204" s="44" t="str">
        <f t="shared" si="0"/>
        <v>-</v>
      </c>
    </row>
    <row r="205" spans="2:16" s="48" customFormat="1" ht="13.5" hidden="1" thickBot="1" x14ac:dyDescent="0.25">
      <c r="B205" s="7" t="s">
        <v>29</v>
      </c>
      <c r="C205" s="106" t="e">
        <f>PMT(C190/12,N192,-C198)</f>
        <v>#REF!</v>
      </c>
      <c r="D205" s="107"/>
      <c r="E205" s="7" t="s">
        <v>29</v>
      </c>
      <c r="F205" s="106" t="e">
        <f>PMT(F190/12,N192,-F198)</f>
        <v>#REF!</v>
      </c>
      <c r="G205" s="107"/>
      <c r="I205" s="197"/>
      <c r="J205" s="36">
        <v>36</v>
      </c>
      <c r="K205" s="45">
        <f t="shared" si="0"/>
        <v>0.19070000000000001</v>
      </c>
      <c r="L205" s="46">
        <f t="shared" si="0"/>
        <v>0.15890000000000001</v>
      </c>
      <c r="M205" s="47">
        <f t="shared" si="0"/>
        <v>0.10340000000000001</v>
      </c>
      <c r="N205" s="47">
        <f t="shared" si="0"/>
        <v>5.91E-2</v>
      </c>
      <c r="O205" s="47">
        <f t="shared" si="0"/>
        <v>2.69E-2</v>
      </c>
      <c r="P205" s="8">
        <f t="shared" si="0"/>
        <v>0</v>
      </c>
    </row>
    <row r="206" spans="2:16" s="48" customFormat="1" ht="13.5" hidden="1" thickBot="1" x14ac:dyDescent="0.25">
      <c r="B206" s="13"/>
      <c r="C206" s="13"/>
      <c r="D206" s="13"/>
      <c r="E206" s="13"/>
      <c r="F206" s="13"/>
      <c r="G206" s="13"/>
      <c r="I206" s="13"/>
      <c r="J206" s="13"/>
      <c r="K206" s="13"/>
      <c r="L206" s="13"/>
      <c r="M206" s="13"/>
      <c r="N206" s="13"/>
      <c r="O206" s="13"/>
      <c r="P206" s="13"/>
    </row>
    <row r="207" spans="2:16" s="48" customFormat="1" ht="13.5" hidden="1" thickBot="1" x14ac:dyDescent="0.25">
      <c r="B207" s="188" t="s">
        <v>44</v>
      </c>
      <c r="C207" s="189"/>
      <c r="D207" s="190"/>
      <c r="E207" s="188" t="s">
        <v>0</v>
      </c>
      <c r="F207" s="189"/>
      <c r="G207" s="190"/>
      <c r="I207" s="191" t="s">
        <v>1</v>
      </c>
      <c r="J207" s="192"/>
      <c r="K207" s="50" t="s">
        <v>2</v>
      </c>
      <c r="L207" s="3" t="s">
        <v>3</v>
      </c>
      <c r="M207" s="109" t="e">
        <f>#REF!</f>
        <v>#REF!</v>
      </c>
      <c r="N207" s="52" t="s">
        <v>4</v>
      </c>
      <c r="O207" s="1" t="s">
        <v>5</v>
      </c>
      <c r="P207" s="2" t="s">
        <v>6</v>
      </c>
    </row>
    <row r="208" spans="2:16" s="48" customFormat="1" ht="13.5" hidden="1" thickBot="1" x14ac:dyDescent="0.25">
      <c r="B208" s="3" t="s">
        <v>7</v>
      </c>
      <c r="C208" s="110">
        <f>$C$171</f>
        <v>0.22500000000000001</v>
      </c>
      <c r="D208" s="54"/>
      <c r="E208" s="3" t="s">
        <v>7</v>
      </c>
      <c r="F208" s="55">
        <f>J215</f>
        <v>0.10340000000000001</v>
      </c>
      <c r="G208" s="56"/>
      <c r="I208" s="57" t="s">
        <v>2</v>
      </c>
      <c r="J208" s="58" t="s">
        <v>6</v>
      </c>
      <c r="K208" s="59">
        <v>6</v>
      </c>
      <c r="L208" s="14" t="s">
        <v>41</v>
      </c>
      <c r="M208" s="60">
        <v>1</v>
      </c>
      <c r="N208" s="61" t="e">
        <f>IF(C210&gt;999,90,IF(C210&gt;499,90,"Min $500"))</f>
        <v>#REF!</v>
      </c>
      <c r="O208" s="62" t="s">
        <v>8</v>
      </c>
      <c r="P208" s="63" t="s">
        <v>9</v>
      </c>
    </row>
    <row r="209" spans="2:16" s="48" customFormat="1" ht="13.5" hidden="1" thickBot="1" x14ac:dyDescent="0.25">
      <c r="B209" s="64" t="s">
        <v>10</v>
      </c>
      <c r="C209" s="65"/>
      <c r="D209" s="66"/>
      <c r="E209" s="64" t="s">
        <v>10</v>
      </c>
      <c r="F209" s="67"/>
      <c r="G209" s="66"/>
      <c r="I209" s="68">
        <v>5</v>
      </c>
      <c r="J209" s="69">
        <v>3</v>
      </c>
      <c r="K209" s="70">
        <v>12</v>
      </c>
      <c r="L209" s="14" t="s">
        <v>37</v>
      </c>
      <c r="M209" s="71" t="e">
        <f>M207*1.15-M207</f>
        <v>#REF!</v>
      </c>
      <c r="N209" s="60" t="s">
        <v>2</v>
      </c>
      <c r="O209" s="72" t="s">
        <v>11</v>
      </c>
      <c r="P209" s="73" t="s">
        <v>8</v>
      </c>
    </row>
    <row r="210" spans="2:16" s="48" customFormat="1" hidden="1" x14ac:dyDescent="0.2">
      <c r="B210" s="4" t="s">
        <v>12</v>
      </c>
      <c r="C210" s="74" t="e">
        <f>#REF!</f>
        <v>#REF!</v>
      </c>
      <c r="D210" s="75"/>
      <c r="E210" s="4" t="s">
        <v>12</v>
      </c>
      <c r="F210" s="74" t="e">
        <f>#REF!</f>
        <v>#REF!</v>
      </c>
      <c r="G210" s="75"/>
      <c r="I210" s="76">
        <v>6</v>
      </c>
      <c r="J210" s="77" t="b">
        <f>IF(I209=1, IF(J209=1, K219, IF(I209=1, IF(J209=2,L219,))))</f>
        <v>0</v>
      </c>
      <c r="K210" s="78">
        <v>18</v>
      </c>
      <c r="L210" s="14" t="s">
        <v>38</v>
      </c>
      <c r="M210" s="71" t="e">
        <f>M207*3/23</f>
        <v>#REF!</v>
      </c>
      <c r="N210" s="60">
        <f>IF(I209=1,6,IF(I209=2,12,IF(I209=3,18,IF(I209=4,24,IF(I209=5,36,IF(I209=6,48,IF(I209=7,60,0)))))))</f>
        <v>36</v>
      </c>
      <c r="O210" s="72" t="s">
        <v>13</v>
      </c>
      <c r="P210" s="73" t="s">
        <v>11</v>
      </c>
    </row>
    <row r="211" spans="2:16" s="48" customFormat="1" hidden="1" x14ac:dyDescent="0.2">
      <c r="B211" s="4" t="s">
        <v>14</v>
      </c>
      <c r="C211" s="79">
        <v>0</v>
      </c>
      <c r="D211" s="80"/>
      <c r="E211" s="4" t="s">
        <v>14</v>
      </c>
      <c r="F211" s="79" t="e">
        <f>IF(#REF!=1,#REF!, IF(#REF!=2,#REF!, IF(#REF!=3,#REF!, IF(#REF!=4,#REF!, IF(#REF!=5,#REF!,0)))))</f>
        <v>#REF!</v>
      </c>
      <c r="G211" s="80"/>
      <c r="I211" s="81">
        <v>12</v>
      </c>
      <c r="J211" s="82" t="b">
        <f>IF(I209=2, IF(J209=1,K220, IF(J209=2, L220, IF(J209=3,M220))))</f>
        <v>0</v>
      </c>
      <c r="K211" s="78">
        <v>24</v>
      </c>
      <c r="L211" s="14" t="s">
        <v>39</v>
      </c>
      <c r="M211" s="83" t="e">
        <f>IF(M208=1,M209, IF(M208=2,M210))</f>
        <v>#REF!</v>
      </c>
      <c r="N211" s="84" t="s">
        <v>15</v>
      </c>
      <c r="O211" s="72" t="s">
        <v>16</v>
      </c>
      <c r="P211" s="73" t="s">
        <v>13</v>
      </c>
    </row>
    <row r="212" spans="2:16" s="48" customFormat="1" ht="13.5" hidden="1" thickBot="1" x14ac:dyDescent="0.25">
      <c r="B212" s="4" t="s">
        <v>17</v>
      </c>
      <c r="C212" s="74">
        <v>0</v>
      </c>
      <c r="D212" s="85"/>
      <c r="E212" s="4" t="s">
        <v>17</v>
      </c>
      <c r="F212" s="74" t="e">
        <f>IF(#REF!=1,F210*F211,0)</f>
        <v>#REF!</v>
      </c>
      <c r="G212" s="85"/>
      <c r="I212" s="81">
        <v>18</v>
      </c>
      <c r="J212" s="82" t="b">
        <f>IF(I209=3, IF(J209=1,K221, IF(J209=2,L221, IF(J209=3,M221, IF(J209=4,N221)))))</f>
        <v>0</v>
      </c>
      <c r="K212" s="86">
        <v>36</v>
      </c>
      <c r="L212" s="15" t="s">
        <v>40</v>
      </c>
      <c r="M212" s="87" t="e">
        <f>IF(M208=1,M207+M209, IF(M208=2,M207))</f>
        <v>#REF!</v>
      </c>
      <c r="N212" s="88">
        <v>1</v>
      </c>
      <c r="O212" s="89" t="s">
        <v>18</v>
      </c>
      <c r="P212" s="73" t="s">
        <v>16</v>
      </c>
    </row>
    <row r="213" spans="2:16" s="48" customFormat="1" ht="13.5" hidden="1" thickBot="1" x14ac:dyDescent="0.25">
      <c r="B213" s="4" t="s">
        <v>4</v>
      </c>
      <c r="C213" s="90" t="e">
        <f>$N$171</f>
        <v>#REF!</v>
      </c>
      <c r="D213" s="85"/>
      <c r="E213" s="4" t="s">
        <v>4</v>
      </c>
      <c r="F213" s="90" t="e">
        <f>N208</f>
        <v>#REF!</v>
      </c>
      <c r="G213" s="85"/>
      <c r="I213" s="81">
        <v>24</v>
      </c>
      <c r="J213" s="82" t="b">
        <f>IF(I209=4,IF(J209=1,K222, IF(J209=2,L222, IF(J209=3,M222, IF(J209=4,N222, IF(J209=5,O222))))))</f>
        <v>0</v>
      </c>
      <c r="O213" s="91"/>
      <c r="P213" s="92" t="s">
        <v>18</v>
      </c>
    </row>
    <row r="214" spans="2:16" s="48" customFormat="1" ht="13.5" hidden="1" thickBot="1" x14ac:dyDescent="0.25">
      <c r="B214" s="5" t="s">
        <v>19</v>
      </c>
      <c r="C214" s="74" t="e">
        <f>C210+C212+C213</f>
        <v>#REF!</v>
      </c>
      <c r="D214" s="93" t="s">
        <v>20</v>
      </c>
      <c r="E214" s="5" t="s">
        <v>19</v>
      </c>
      <c r="F214" s="74" t="e">
        <f>F210+F212+F213</f>
        <v>#REF!</v>
      </c>
      <c r="G214" s="93" t="s">
        <v>20</v>
      </c>
      <c r="I214" s="68">
        <v>36</v>
      </c>
      <c r="J214" s="94">
        <f>IF(I209=5, IF(J209=1,K223, IF(J209=2,L223, IF(J209=3,M223, IF(J209=4,N223, IF(J209=5,O223, IF(J209=6,P223)))))))</f>
        <v>0.10340000000000001</v>
      </c>
    </row>
    <row r="215" spans="2:16" s="48" customFormat="1" ht="13.5" hidden="1" thickBot="1" x14ac:dyDescent="0.25">
      <c r="B215" s="4" t="s">
        <v>21</v>
      </c>
      <c r="C215" s="111" t="e">
        <f>#REF!</f>
        <v>#REF!</v>
      </c>
      <c r="D215" s="93" t="s">
        <v>22</v>
      </c>
      <c r="E215" s="4" t="s">
        <v>21</v>
      </c>
      <c r="F215" s="111" t="e">
        <f>#REF!</f>
        <v>#REF!</v>
      </c>
      <c r="G215" s="93" t="s">
        <v>22</v>
      </c>
      <c r="I215" s="96"/>
      <c r="J215" s="97">
        <f>SUM(J210:J214)</f>
        <v>0.10340000000000001</v>
      </c>
    </row>
    <row r="216" spans="2:16" s="48" customFormat="1" ht="13.5" hidden="1" thickBot="1" x14ac:dyDescent="0.25">
      <c r="B216" s="5" t="s">
        <v>23</v>
      </c>
      <c r="C216" s="98" t="e">
        <f>C214-C215</f>
        <v>#REF!</v>
      </c>
      <c r="D216" s="99" t="s">
        <v>24</v>
      </c>
      <c r="E216" s="5" t="s">
        <v>23</v>
      </c>
      <c r="F216" s="98" t="e">
        <f>F214-F215</f>
        <v>#REF!</v>
      </c>
      <c r="G216" s="99" t="s">
        <v>24</v>
      </c>
      <c r="M216" s="100"/>
    </row>
    <row r="217" spans="2:16" s="48" customFormat="1" ht="13.5" hidden="1" thickBot="1" x14ac:dyDescent="0.25">
      <c r="B217" s="4" t="s">
        <v>25</v>
      </c>
      <c r="C217" s="98" t="e">
        <f>C220-C216</f>
        <v>#REF!</v>
      </c>
      <c r="D217" s="101"/>
      <c r="E217" s="4" t="s">
        <v>25</v>
      </c>
      <c r="F217" s="98" t="e">
        <f>F220-F216</f>
        <v>#REF!</v>
      </c>
      <c r="G217" s="101"/>
      <c r="I217" s="28"/>
      <c r="J217" s="29"/>
      <c r="K217" s="198" t="s">
        <v>28</v>
      </c>
      <c r="L217" s="199"/>
      <c r="M217" s="199"/>
      <c r="N217" s="199"/>
      <c r="O217" s="199"/>
      <c r="P217" s="200"/>
    </row>
    <row r="218" spans="2:16" s="48" customFormat="1" ht="13.5" hidden="1" thickBot="1" x14ac:dyDescent="0.25">
      <c r="B218" s="5" t="s">
        <v>26</v>
      </c>
      <c r="C218" s="102" t="e">
        <f>C221-C216</f>
        <v>#REF!</v>
      </c>
      <c r="D218" s="93" t="s">
        <v>27</v>
      </c>
      <c r="E218" s="5" t="s">
        <v>26</v>
      </c>
      <c r="F218" s="102" t="e">
        <f>F221-F216</f>
        <v>#REF!</v>
      </c>
      <c r="G218" s="93" t="s">
        <v>27</v>
      </c>
      <c r="I218" s="195" t="s">
        <v>2</v>
      </c>
      <c r="J218" s="30"/>
      <c r="K218" s="31" t="s">
        <v>9</v>
      </c>
      <c r="L218" s="32" t="s">
        <v>8</v>
      </c>
      <c r="M218" s="32" t="s">
        <v>11</v>
      </c>
      <c r="N218" s="32" t="s">
        <v>13</v>
      </c>
      <c r="O218" s="32" t="s">
        <v>16</v>
      </c>
      <c r="P218" s="33" t="s">
        <v>18</v>
      </c>
    </row>
    <row r="219" spans="2:16" s="48" customFormat="1" hidden="1" x14ac:dyDescent="0.2">
      <c r="B219" s="4" t="s">
        <v>30</v>
      </c>
      <c r="C219" s="98" t="e">
        <f>C217</f>
        <v>#REF!</v>
      </c>
      <c r="D219" s="101"/>
      <c r="E219" s="4" t="s">
        <v>30</v>
      </c>
      <c r="F219" s="98" t="e">
        <f>F217</f>
        <v>#REF!</v>
      </c>
      <c r="G219" s="101"/>
      <c r="I219" s="196"/>
      <c r="J219" s="34">
        <v>6</v>
      </c>
      <c r="K219" s="37">
        <f t="shared" ref="K219:P223" si="1">K183</f>
        <v>6.4399999999999999E-2</v>
      </c>
      <c r="L219" s="38">
        <f t="shared" si="1"/>
        <v>0</v>
      </c>
      <c r="M219" s="39" t="str">
        <f t="shared" si="1"/>
        <v>-</v>
      </c>
      <c r="N219" s="39" t="str">
        <f t="shared" si="1"/>
        <v>-</v>
      </c>
      <c r="O219" s="39" t="str">
        <f t="shared" si="1"/>
        <v>-</v>
      </c>
      <c r="P219" s="40" t="str">
        <f t="shared" si="1"/>
        <v>-</v>
      </c>
    </row>
    <row r="220" spans="2:16" s="48" customFormat="1" hidden="1" x14ac:dyDescent="0.2">
      <c r="B220" s="5" t="s">
        <v>31</v>
      </c>
      <c r="C220" s="102" t="e">
        <f>C223*N210</f>
        <v>#REF!</v>
      </c>
      <c r="D220" s="93" t="s">
        <v>32</v>
      </c>
      <c r="E220" s="5" t="s">
        <v>31</v>
      </c>
      <c r="F220" s="102" t="e">
        <f>F223*N210</f>
        <v>#REF!</v>
      </c>
      <c r="G220" s="93" t="s">
        <v>32</v>
      </c>
      <c r="I220" s="196"/>
      <c r="J220" s="35">
        <v>12</v>
      </c>
      <c r="K220" s="41">
        <f t="shared" si="1"/>
        <v>0.13039999999999999</v>
      </c>
      <c r="L220" s="42">
        <f t="shared" si="1"/>
        <v>6.0900000000000003E-2</v>
      </c>
      <c r="M220" s="43">
        <f t="shared" si="1"/>
        <v>0</v>
      </c>
      <c r="N220" s="43" t="str">
        <f t="shared" si="1"/>
        <v>-</v>
      </c>
      <c r="O220" s="43" t="str">
        <f t="shared" si="1"/>
        <v>-</v>
      </c>
      <c r="P220" s="44" t="str">
        <f t="shared" si="1"/>
        <v>-</v>
      </c>
    </row>
    <row r="221" spans="2:16" s="48" customFormat="1" hidden="1" x14ac:dyDescent="0.2">
      <c r="B221" s="5" t="s">
        <v>34</v>
      </c>
      <c r="C221" s="74" t="e">
        <f>C220+C215</f>
        <v>#REF!</v>
      </c>
      <c r="D221" s="99" t="s">
        <v>35</v>
      </c>
      <c r="E221" s="5" t="s">
        <v>34</v>
      </c>
      <c r="F221" s="74" t="e">
        <f>F220+F215</f>
        <v>#REF!</v>
      </c>
      <c r="G221" s="99" t="s">
        <v>35</v>
      </c>
      <c r="I221" s="196"/>
      <c r="J221" s="35">
        <v>18</v>
      </c>
      <c r="K221" s="41">
        <f t="shared" si="1"/>
        <v>0.1588</v>
      </c>
      <c r="L221" s="42">
        <f t="shared" si="1"/>
        <v>0.1036</v>
      </c>
      <c r="M221" s="43">
        <f t="shared" si="1"/>
        <v>2.7900000000000001E-2</v>
      </c>
      <c r="N221" s="43">
        <f t="shared" si="1"/>
        <v>0</v>
      </c>
      <c r="O221" s="43" t="str">
        <f t="shared" si="1"/>
        <v>-</v>
      </c>
      <c r="P221" s="44" t="str">
        <f t="shared" si="1"/>
        <v>-</v>
      </c>
    </row>
    <row r="222" spans="2:16" s="48" customFormat="1" hidden="1" x14ac:dyDescent="0.2">
      <c r="B222" s="6" t="s">
        <v>7</v>
      </c>
      <c r="C222" s="105" t="e">
        <f>#REF!</f>
        <v>#REF!</v>
      </c>
      <c r="D222" s="75"/>
      <c r="E222" s="6" t="s">
        <v>7</v>
      </c>
      <c r="F222" s="105">
        <f>F208</f>
        <v>0.10340000000000001</v>
      </c>
      <c r="G222" s="75"/>
      <c r="I222" s="196"/>
      <c r="J222" s="35">
        <v>24</v>
      </c>
      <c r="K222" s="41">
        <f t="shared" si="1"/>
        <v>0.17430000000000001</v>
      </c>
      <c r="L222" s="42">
        <f t="shared" si="1"/>
        <v>0.12959999999999999</v>
      </c>
      <c r="M222" s="43">
        <f t="shared" si="1"/>
        <v>5.9400000000000001E-2</v>
      </c>
      <c r="N222" s="43">
        <f t="shared" si="1"/>
        <v>1.5900000000000001E-2</v>
      </c>
      <c r="O222" s="43">
        <f t="shared" si="1"/>
        <v>0</v>
      </c>
      <c r="P222" s="44" t="str">
        <f t="shared" si="1"/>
        <v>-</v>
      </c>
    </row>
    <row r="223" spans="2:16" s="48" customFormat="1" ht="13.5" hidden="1" thickBot="1" x14ac:dyDescent="0.25">
      <c r="B223" s="7" t="s">
        <v>29</v>
      </c>
      <c r="C223" s="106" t="e">
        <f>PMT(C208/12,N210,-C216)</f>
        <v>#REF!</v>
      </c>
      <c r="D223" s="107"/>
      <c r="E223" s="7" t="s">
        <v>29</v>
      </c>
      <c r="F223" s="106" t="e">
        <f>PMT(F208/12,N210,-F216)</f>
        <v>#REF!</v>
      </c>
      <c r="G223" s="107"/>
      <c r="I223" s="197"/>
      <c r="J223" s="36">
        <v>36</v>
      </c>
      <c r="K223" s="45">
        <f t="shared" si="1"/>
        <v>0.19070000000000001</v>
      </c>
      <c r="L223" s="46">
        <f t="shared" si="1"/>
        <v>0.15890000000000001</v>
      </c>
      <c r="M223" s="47">
        <f t="shared" si="1"/>
        <v>0.10340000000000001</v>
      </c>
      <c r="N223" s="47">
        <f t="shared" si="1"/>
        <v>5.91E-2</v>
      </c>
      <c r="O223" s="47">
        <f t="shared" si="1"/>
        <v>2.69E-2</v>
      </c>
      <c r="P223" s="8">
        <f t="shared" si="1"/>
        <v>0</v>
      </c>
    </row>
    <row r="224" spans="2:16" s="48" customFormat="1" hidden="1" x14ac:dyDescent="0.2">
      <c r="B224" s="11"/>
      <c r="C224" s="112"/>
      <c r="D224" s="112"/>
      <c r="E224" s="112"/>
      <c r="F224" s="112"/>
      <c r="G224" s="112"/>
      <c r="H224" s="108"/>
      <c r="I224" s="13"/>
      <c r="J224" s="13"/>
    </row>
    <row r="225" spans="1:10" x14ac:dyDescent="0.2">
      <c r="A225" s="48"/>
      <c r="B225" s="10"/>
      <c r="C225" s="103"/>
      <c r="D225" s="103"/>
      <c r="E225" s="103"/>
      <c r="F225" s="103"/>
      <c r="G225" s="103"/>
      <c r="H225" s="113"/>
      <c r="I225" s="13"/>
      <c r="J225" s="114"/>
    </row>
    <row r="226" spans="1:10" x14ac:dyDescent="0.2">
      <c r="A226" s="48"/>
      <c r="B226" s="12"/>
      <c r="C226" s="115"/>
      <c r="D226" s="115"/>
      <c r="E226" s="115"/>
      <c r="F226" s="115"/>
      <c r="G226" s="115"/>
      <c r="H226" s="116"/>
      <c r="I226" s="13"/>
      <c r="J226" s="114"/>
    </row>
    <row r="227" spans="1:10" x14ac:dyDescent="0.2">
      <c r="A227" s="48"/>
      <c r="B227" s="10"/>
      <c r="C227" s="117"/>
      <c r="D227" s="117"/>
      <c r="E227" s="117"/>
      <c r="F227" s="117"/>
      <c r="G227" s="117"/>
      <c r="H227" s="118"/>
      <c r="I227" s="13"/>
      <c r="J227" s="114"/>
    </row>
    <row r="228" spans="1:10" x14ac:dyDescent="0.2">
      <c r="A228" s="48"/>
      <c r="B228" s="9"/>
      <c r="C228" s="117"/>
      <c r="D228" s="117"/>
      <c r="E228" s="117"/>
      <c r="F228" s="117"/>
      <c r="G228" s="117"/>
      <c r="H228" s="13"/>
      <c r="I228" s="13"/>
      <c r="J228" s="114"/>
    </row>
    <row r="229" spans="1:10" x14ac:dyDescent="0.2">
      <c r="A229" s="48"/>
      <c r="B229" s="13"/>
      <c r="C229" s="13"/>
      <c r="D229" s="13"/>
      <c r="E229" s="13"/>
      <c r="F229" s="13"/>
      <c r="G229" s="13"/>
      <c r="H229" s="13"/>
      <c r="I229" s="13"/>
      <c r="J229" s="114"/>
    </row>
    <row r="230" spans="1:10" x14ac:dyDescent="0.2">
      <c r="A230" s="48"/>
      <c r="B230" s="48"/>
      <c r="C230" s="48"/>
      <c r="D230" s="48"/>
      <c r="E230" s="48"/>
      <c r="F230" s="48"/>
      <c r="G230" s="48"/>
      <c r="H230" s="48"/>
      <c r="I230" s="48"/>
    </row>
  </sheetData>
  <mergeCells count="15">
    <mergeCell ref="I218:I223"/>
    <mergeCell ref="K217:P217"/>
    <mergeCell ref="K181:P181"/>
    <mergeCell ref="I182:I187"/>
    <mergeCell ref="K199:P199"/>
    <mergeCell ref="I200:I205"/>
    <mergeCell ref="B207:D207"/>
    <mergeCell ref="E207:G207"/>
    <mergeCell ref="I207:J207"/>
    <mergeCell ref="B170:D170"/>
    <mergeCell ref="E170:G170"/>
    <mergeCell ref="B189:D189"/>
    <mergeCell ref="E189:G189"/>
    <mergeCell ref="I170:J170"/>
    <mergeCell ref="I189:J18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AU420"/>
  <sheetViews>
    <sheetView showGridLines="0" showRowColHeaders="0" showOutlineSymbols="0" zoomScaleNormal="100" workbookViewId="0">
      <selection activeCell="C12" sqref="C12:E15"/>
    </sheetView>
  </sheetViews>
  <sheetFormatPr defaultColWidth="9.140625" defaultRowHeight="12.75" x14ac:dyDescent="0.2"/>
  <cols>
    <col min="1" max="1" width="1.7109375" style="121" customWidth="1"/>
    <col min="2" max="2" width="2.140625" style="121" customWidth="1"/>
    <col min="3" max="3" width="14.5703125" style="121" customWidth="1"/>
    <col min="4" max="4" width="10.7109375" style="121" customWidth="1"/>
    <col min="5" max="5" width="11.7109375" style="121" customWidth="1"/>
    <col min="6" max="6" width="13.7109375" style="121" customWidth="1"/>
    <col min="7" max="7" width="18.85546875" style="121" customWidth="1"/>
    <col min="8" max="8" width="1.5703125" style="121" customWidth="1"/>
    <col min="9" max="9" width="0.28515625" style="121" customWidth="1"/>
    <col min="10" max="10" width="1.5703125" style="121" customWidth="1"/>
    <col min="11" max="18" width="7.42578125" style="121" customWidth="1"/>
    <col min="19" max="19" width="7.42578125" style="124" customWidth="1"/>
    <col min="20" max="21" width="7.28515625" style="124" customWidth="1"/>
    <col min="22" max="28" width="7.42578125" style="121" customWidth="1"/>
    <col min="29" max="41" width="7.28515625" style="121" customWidth="1"/>
    <col min="42" max="16384" width="9.140625" style="121"/>
  </cols>
  <sheetData>
    <row r="1" spans="1:37" ht="7.5" customHeight="1" x14ac:dyDescent="0.2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37" ht="15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75"/>
      <c r="Z2" s="175"/>
      <c r="AA2" s="175"/>
      <c r="AB2" s="130"/>
      <c r="AC2" s="130"/>
    </row>
    <row r="3" spans="1:37" ht="12" customHeight="1" x14ac:dyDescent="0.2">
      <c r="A3" s="129"/>
      <c r="B3" s="129"/>
      <c r="C3" s="130"/>
      <c r="D3" s="130"/>
      <c r="E3" s="130"/>
      <c r="F3" s="130"/>
      <c r="G3" s="130"/>
      <c r="H3" s="129"/>
      <c r="I3" s="130"/>
      <c r="J3" s="131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75"/>
      <c r="Z3" s="175"/>
      <c r="AA3" s="175"/>
      <c r="AB3" s="130"/>
      <c r="AC3" s="130"/>
    </row>
    <row r="4" spans="1:37" ht="12" customHeight="1" x14ac:dyDescent="0.2">
      <c r="A4" s="129"/>
      <c r="B4" s="129"/>
      <c r="C4" s="130"/>
      <c r="D4" s="130"/>
      <c r="E4" s="130"/>
      <c r="F4" s="130"/>
      <c r="G4" s="130"/>
      <c r="H4" s="129"/>
      <c r="I4" s="131"/>
      <c r="J4" s="131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75"/>
      <c r="Z4" s="175"/>
      <c r="AA4" s="175"/>
      <c r="AB4" s="130"/>
      <c r="AC4" s="130"/>
    </row>
    <row r="5" spans="1:37" ht="12" customHeight="1" x14ac:dyDescent="0.2">
      <c r="A5" s="129"/>
      <c r="B5" s="132"/>
      <c r="C5" s="130"/>
      <c r="D5" s="130"/>
      <c r="E5" s="130"/>
      <c r="F5" s="130"/>
      <c r="G5" s="130"/>
      <c r="H5" s="133"/>
      <c r="I5" s="131"/>
      <c r="J5" s="131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75"/>
      <c r="Z5" s="175"/>
      <c r="AA5" s="175"/>
      <c r="AB5" s="130"/>
      <c r="AC5" s="130"/>
    </row>
    <row r="6" spans="1:37" ht="13.5" customHeight="1" x14ac:dyDescent="0.2">
      <c r="A6" s="129"/>
      <c r="B6" s="129"/>
      <c r="C6" s="130"/>
      <c r="D6" s="130"/>
      <c r="E6" s="130"/>
      <c r="F6" s="130"/>
      <c r="G6" s="130"/>
      <c r="H6" s="134"/>
      <c r="I6" s="131"/>
      <c r="J6" s="131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75"/>
      <c r="Z6" s="175"/>
      <c r="AA6" s="175"/>
      <c r="AB6" s="130"/>
      <c r="AC6" s="130"/>
      <c r="AE6" s="127"/>
      <c r="AF6" s="127"/>
      <c r="AG6" s="127"/>
      <c r="AH6" s="127"/>
      <c r="AI6" s="127"/>
      <c r="AJ6" s="127"/>
      <c r="AK6" s="127"/>
    </row>
    <row r="7" spans="1:37" ht="13.5" customHeight="1" x14ac:dyDescent="0.2">
      <c r="A7" s="129"/>
      <c r="B7" s="129"/>
      <c r="C7" s="130"/>
      <c r="D7" s="130"/>
      <c r="E7" s="130"/>
      <c r="F7" s="130"/>
      <c r="G7" s="130"/>
      <c r="H7" s="134"/>
      <c r="I7" s="131"/>
      <c r="J7" s="131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82"/>
      <c r="AB7" s="130"/>
      <c r="AC7" s="130"/>
      <c r="AE7" s="127"/>
      <c r="AF7" s="127"/>
      <c r="AG7" s="127"/>
      <c r="AH7" s="127"/>
      <c r="AI7" s="127"/>
      <c r="AJ7" s="127"/>
      <c r="AK7" s="127"/>
    </row>
    <row r="8" spans="1:37" ht="13.5" customHeight="1" x14ac:dyDescent="0.2">
      <c r="A8" s="129"/>
      <c r="B8" s="129"/>
      <c r="C8" s="201" t="s">
        <v>176</v>
      </c>
      <c r="D8" s="201"/>
      <c r="E8" s="201"/>
      <c r="F8" s="201"/>
      <c r="G8" s="201"/>
      <c r="H8" s="134"/>
      <c r="I8" s="131"/>
      <c r="J8" s="131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82"/>
      <c r="AB8" s="130"/>
      <c r="AC8" s="130"/>
      <c r="AE8" s="127"/>
      <c r="AF8" s="127"/>
      <c r="AG8" s="127"/>
      <c r="AH8" s="127"/>
      <c r="AI8" s="127"/>
      <c r="AJ8" s="127"/>
      <c r="AK8" s="127"/>
    </row>
    <row r="9" spans="1:37" ht="13.5" customHeight="1" x14ac:dyDescent="0.2">
      <c r="A9" s="129"/>
      <c r="B9" s="129"/>
      <c r="C9" s="201"/>
      <c r="D9" s="201"/>
      <c r="E9" s="201"/>
      <c r="F9" s="201"/>
      <c r="G9" s="201"/>
      <c r="H9" s="129"/>
      <c r="I9" s="135"/>
      <c r="J9" s="136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36"/>
      <c r="AB9" s="130"/>
      <c r="AC9" s="130"/>
      <c r="AE9" s="127"/>
      <c r="AF9" s="127"/>
      <c r="AG9" s="127"/>
      <c r="AH9" s="127"/>
      <c r="AI9" s="127"/>
      <c r="AJ9" s="127"/>
      <c r="AK9" s="127"/>
    </row>
    <row r="10" spans="1:37" ht="13.5" customHeight="1" x14ac:dyDescent="0.2">
      <c r="A10" s="129"/>
      <c r="B10" s="129"/>
      <c r="C10" s="176"/>
      <c r="D10" s="176"/>
      <c r="E10" s="176"/>
      <c r="F10" s="131"/>
      <c r="G10" s="176"/>
      <c r="H10" s="129"/>
      <c r="I10" s="135"/>
      <c r="J10" s="136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36"/>
      <c r="AB10" s="130"/>
      <c r="AC10" s="130"/>
      <c r="AE10" s="126"/>
      <c r="AF10" s="119"/>
      <c r="AG10" s="119"/>
      <c r="AH10" s="119"/>
      <c r="AI10" s="119"/>
      <c r="AJ10" s="119"/>
      <c r="AK10" s="119"/>
    </row>
    <row r="11" spans="1:37" ht="13.5" customHeight="1" thickBot="1" x14ac:dyDescent="0.25">
      <c r="A11" s="129"/>
      <c r="B11" s="129"/>
      <c r="C11" s="202" t="s">
        <v>140</v>
      </c>
      <c r="D11" s="202"/>
      <c r="E11" s="202"/>
      <c r="F11" s="131"/>
      <c r="G11" s="187" t="s">
        <v>139</v>
      </c>
      <c r="H11" s="129"/>
      <c r="I11" s="135"/>
      <c r="J11" s="136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36"/>
      <c r="AB11" s="130"/>
      <c r="AC11" s="130"/>
      <c r="AE11" s="119"/>
      <c r="AF11" s="119"/>
      <c r="AG11" s="119"/>
      <c r="AH11" s="119"/>
      <c r="AI11" s="119"/>
      <c r="AJ11" s="119"/>
      <c r="AK11" s="119"/>
    </row>
    <row r="12" spans="1:37" ht="13.5" customHeight="1" x14ac:dyDescent="0.2">
      <c r="A12" s="129"/>
      <c r="B12" s="129"/>
      <c r="C12" s="203">
        <v>2500</v>
      </c>
      <c r="D12" s="204"/>
      <c r="E12" s="205"/>
      <c r="F12" s="137"/>
      <c r="G12" s="212">
        <v>300</v>
      </c>
      <c r="H12" s="129"/>
      <c r="I12" s="135"/>
      <c r="J12" s="129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38"/>
      <c r="AB12" s="130"/>
      <c r="AC12" s="130"/>
      <c r="AE12" s="119"/>
      <c r="AF12" s="119"/>
      <c r="AG12" s="119"/>
      <c r="AH12" s="119"/>
      <c r="AI12" s="119"/>
      <c r="AJ12" s="119"/>
      <c r="AK12" s="119"/>
    </row>
    <row r="13" spans="1:37" ht="13.5" customHeight="1" x14ac:dyDescent="0.2">
      <c r="A13" s="129"/>
      <c r="B13" s="129"/>
      <c r="C13" s="206"/>
      <c r="D13" s="207"/>
      <c r="E13" s="208"/>
      <c r="F13" s="139"/>
      <c r="G13" s="213"/>
      <c r="H13" s="129"/>
      <c r="I13" s="135"/>
      <c r="J13" s="129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29"/>
      <c r="AB13" s="130"/>
      <c r="AC13" s="130"/>
      <c r="AE13" s="119"/>
      <c r="AF13" s="119"/>
      <c r="AG13" s="119"/>
      <c r="AH13" s="119"/>
      <c r="AI13" s="119"/>
      <c r="AJ13" s="119"/>
      <c r="AK13" s="119"/>
    </row>
    <row r="14" spans="1:37" ht="13.5" customHeight="1" x14ac:dyDescent="0.2">
      <c r="A14" s="129"/>
      <c r="B14" s="129"/>
      <c r="C14" s="206"/>
      <c r="D14" s="207"/>
      <c r="E14" s="208"/>
      <c r="F14" s="140"/>
      <c r="G14" s="213"/>
      <c r="H14" s="129"/>
      <c r="I14" s="135"/>
      <c r="J14" s="129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41"/>
      <c r="AB14" s="130"/>
      <c r="AC14" s="130"/>
      <c r="AE14" s="119"/>
      <c r="AF14" s="119"/>
      <c r="AG14" s="119"/>
      <c r="AH14" s="119"/>
      <c r="AI14" s="119"/>
      <c r="AJ14" s="119"/>
      <c r="AK14" s="119"/>
    </row>
    <row r="15" spans="1:37" ht="13.5" customHeight="1" thickBot="1" x14ac:dyDescent="0.25">
      <c r="A15" s="129"/>
      <c r="B15" s="129"/>
      <c r="C15" s="209"/>
      <c r="D15" s="210"/>
      <c r="E15" s="211"/>
      <c r="F15" s="142"/>
      <c r="G15" s="214"/>
      <c r="H15" s="129"/>
      <c r="I15" s="135"/>
      <c r="J15" s="129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45"/>
      <c r="AB15" s="130"/>
      <c r="AC15" s="130"/>
      <c r="AE15" s="119"/>
      <c r="AF15" s="119"/>
      <c r="AG15" s="119"/>
      <c r="AH15" s="119"/>
      <c r="AI15" s="119"/>
      <c r="AJ15" s="119"/>
      <c r="AK15" s="119"/>
    </row>
    <row r="16" spans="1:37" ht="13.5" customHeight="1" x14ac:dyDescent="0.2">
      <c r="A16" s="129"/>
      <c r="B16" s="129"/>
      <c r="C16" s="215" t="s">
        <v>182</v>
      </c>
      <c r="D16" s="216"/>
      <c r="E16" s="216"/>
      <c r="F16" s="216"/>
      <c r="G16" s="216"/>
      <c r="H16" s="146"/>
      <c r="I16" s="135"/>
      <c r="J16" s="146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47"/>
      <c r="AB16" s="130"/>
      <c r="AC16" s="130"/>
      <c r="AE16" s="119"/>
      <c r="AF16" s="119"/>
      <c r="AG16" s="119"/>
      <c r="AH16" s="119"/>
      <c r="AI16" s="119"/>
      <c r="AJ16" s="119"/>
      <c r="AK16" s="119"/>
    </row>
    <row r="17" spans="1:37" ht="13.5" customHeight="1" thickBot="1" x14ac:dyDescent="0.25">
      <c r="A17" s="129"/>
      <c r="B17" s="129"/>
      <c r="C17" s="216"/>
      <c r="D17" s="216"/>
      <c r="E17" s="216"/>
      <c r="F17" s="216"/>
      <c r="G17" s="216"/>
      <c r="H17" s="129"/>
      <c r="I17" s="135"/>
      <c r="J17" s="129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47"/>
      <c r="AB17" s="130"/>
      <c r="AC17" s="130"/>
      <c r="AE17" s="119"/>
      <c r="AF17" s="119"/>
      <c r="AG17" s="119"/>
      <c r="AH17" s="119"/>
      <c r="AI17" s="119"/>
      <c r="AJ17" s="119"/>
      <c r="AK17" s="119"/>
    </row>
    <row r="18" spans="1:37" ht="13.5" customHeight="1" x14ac:dyDescent="0.2">
      <c r="A18" s="129"/>
      <c r="B18" s="129"/>
      <c r="C18" s="217" t="s">
        <v>104</v>
      </c>
      <c r="D18" s="218"/>
      <c r="E18" s="221" t="s">
        <v>130</v>
      </c>
      <c r="F18" s="221"/>
      <c r="G18" s="222"/>
      <c r="H18" s="129"/>
      <c r="I18" s="135"/>
      <c r="J18" s="129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47"/>
      <c r="AB18" s="130"/>
      <c r="AC18" s="130"/>
      <c r="AE18" s="119"/>
      <c r="AF18" s="119"/>
      <c r="AG18" s="119"/>
      <c r="AH18" s="119"/>
      <c r="AI18" s="119"/>
      <c r="AJ18" s="119"/>
      <c r="AK18" s="119"/>
    </row>
    <row r="19" spans="1:37" ht="13.5" customHeight="1" x14ac:dyDescent="0.2">
      <c r="A19" s="129"/>
      <c r="B19" s="129"/>
      <c r="C19" s="219"/>
      <c r="D19" s="220"/>
      <c r="E19" s="223"/>
      <c r="F19" s="223"/>
      <c r="G19" s="224"/>
      <c r="H19" s="144"/>
      <c r="I19" s="135"/>
      <c r="J19" s="14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47"/>
      <c r="AB19" s="130"/>
      <c r="AC19" s="130"/>
      <c r="AE19" s="119"/>
      <c r="AF19" s="119"/>
      <c r="AG19" s="119"/>
      <c r="AH19" s="119"/>
      <c r="AI19" s="119"/>
      <c r="AJ19" s="119"/>
      <c r="AK19" s="119"/>
    </row>
    <row r="20" spans="1:37" ht="13.5" customHeight="1" x14ac:dyDescent="0.2">
      <c r="A20" s="129"/>
      <c r="B20" s="129"/>
      <c r="C20" s="219" t="s">
        <v>105</v>
      </c>
      <c r="D20" s="220"/>
      <c r="E20" s="220" t="s">
        <v>129</v>
      </c>
      <c r="F20" s="220"/>
      <c r="G20" s="235"/>
      <c r="H20" s="138"/>
      <c r="I20" s="135"/>
      <c r="J20" s="138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47"/>
      <c r="AB20" s="130"/>
      <c r="AC20" s="130"/>
      <c r="AE20" s="119"/>
      <c r="AF20" s="119"/>
      <c r="AG20" s="119"/>
      <c r="AH20" s="119"/>
      <c r="AI20" s="119"/>
      <c r="AJ20" s="119"/>
      <c r="AK20" s="119"/>
    </row>
    <row r="21" spans="1:37" ht="13.5" customHeight="1" thickBot="1" x14ac:dyDescent="0.25">
      <c r="A21" s="129"/>
      <c r="B21" s="129"/>
      <c r="C21" s="233"/>
      <c r="D21" s="234"/>
      <c r="E21" s="234"/>
      <c r="F21" s="234"/>
      <c r="G21" s="236"/>
      <c r="H21" s="129"/>
      <c r="I21" s="135"/>
      <c r="J21" s="129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47"/>
      <c r="AB21" s="130"/>
      <c r="AC21" s="130"/>
      <c r="AE21" s="119"/>
      <c r="AF21" s="119"/>
      <c r="AG21" s="119"/>
      <c r="AH21" s="119"/>
      <c r="AI21" s="119"/>
      <c r="AJ21" s="119"/>
      <c r="AK21" s="119"/>
    </row>
    <row r="22" spans="1:37" ht="13.5" customHeight="1" x14ac:dyDescent="0.2">
      <c r="A22" s="129"/>
      <c r="B22" s="129"/>
      <c r="C22" s="237" t="s">
        <v>141</v>
      </c>
      <c r="D22" s="237"/>
      <c r="E22" s="237"/>
      <c r="F22" s="239" t="s">
        <v>75</v>
      </c>
      <c r="G22" s="239"/>
      <c r="H22" s="129"/>
      <c r="I22" s="135"/>
      <c r="J22" s="129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29"/>
      <c r="AB22" s="130"/>
      <c r="AC22" s="130"/>
      <c r="AE22" s="119"/>
      <c r="AF22" s="119"/>
      <c r="AG22" s="119"/>
      <c r="AH22" s="119"/>
      <c r="AI22" s="119"/>
      <c r="AJ22" s="119"/>
      <c r="AK22" s="119"/>
    </row>
    <row r="23" spans="1:37" ht="13.5" customHeight="1" x14ac:dyDescent="0.2">
      <c r="A23" s="129"/>
      <c r="B23" s="129"/>
      <c r="C23" s="238"/>
      <c r="D23" s="238"/>
      <c r="E23" s="238"/>
      <c r="F23" s="240"/>
      <c r="G23" s="240"/>
      <c r="H23" s="128"/>
      <c r="I23" s="135"/>
      <c r="J23" s="128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29"/>
      <c r="AB23" s="130"/>
      <c r="AC23" s="130"/>
    </row>
    <row r="24" spans="1:37" ht="13.5" customHeight="1" x14ac:dyDescent="0.2">
      <c r="A24" s="129"/>
      <c r="B24" s="129"/>
      <c r="C24" s="225" t="str">
        <f xml:space="preserve"> IF(M317=1,M318, IF(M317=2,M319, IF(M317=3,M320)))</f>
        <v>Monthly Payments</v>
      </c>
      <c r="D24" s="226"/>
      <c r="E24" s="226"/>
      <c r="F24" s="226"/>
      <c r="G24" s="229">
        <f xml:space="preserve"> IF(M317=1,O320*12/52, IF(M317=2,O320*12/52*2, IF(M317=3,O320)))</f>
        <v>91.59</v>
      </c>
      <c r="H24" s="128"/>
      <c r="I24" s="135"/>
      <c r="J24" s="128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29"/>
      <c r="AB24" s="130"/>
      <c r="AC24" s="130"/>
    </row>
    <row r="25" spans="1:37" ht="13.5" customHeight="1" x14ac:dyDescent="0.2">
      <c r="A25" s="129"/>
      <c r="B25" s="129"/>
      <c r="C25" s="227"/>
      <c r="D25" s="228"/>
      <c r="E25" s="228"/>
      <c r="F25" s="228"/>
      <c r="G25" s="230"/>
      <c r="H25" s="138"/>
      <c r="I25" s="135"/>
      <c r="J25" s="138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29"/>
      <c r="AB25" s="130"/>
      <c r="AC25" s="130"/>
    </row>
    <row r="26" spans="1:37" ht="13.5" customHeight="1" x14ac:dyDescent="0.2">
      <c r="A26" s="129"/>
      <c r="B26" s="129"/>
      <c r="C26" s="225" t="s">
        <v>147</v>
      </c>
      <c r="D26" s="226"/>
      <c r="E26" s="226"/>
      <c r="F26" s="226"/>
      <c r="G26" s="229">
        <f>$D$314</f>
        <v>1100.8</v>
      </c>
      <c r="H26" s="138"/>
      <c r="I26" s="135"/>
      <c r="J26" s="138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29"/>
      <c r="AB26" s="130"/>
      <c r="AC26" s="130"/>
    </row>
    <row r="27" spans="1:37" ht="13.5" customHeight="1" x14ac:dyDescent="0.2">
      <c r="A27" s="129"/>
      <c r="B27" s="129"/>
      <c r="C27" s="227"/>
      <c r="D27" s="228"/>
      <c r="E27" s="228"/>
      <c r="F27" s="228"/>
      <c r="G27" s="230"/>
      <c r="H27" s="148"/>
      <c r="I27" s="135"/>
      <c r="J27" s="148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49"/>
      <c r="AB27" s="130"/>
      <c r="AC27" s="130"/>
    </row>
    <row r="28" spans="1:37" ht="13.5" customHeight="1" x14ac:dyDescent="0.2">
      <c r="A28" s="129"/>
      <c r="B28" s="129"/>
      <c r="C28" s="225" t="str">
        <f>IF(F333&lt;3,"N/A",IF(F333&gt;2,"Subsidised Rate and Interest Total"))</f>
        <v>Subsidised Rate and Interest Total</v>
      </c>
      <c r="D28" s="226"/>
      <c r="E28" s="226"/>
      <c r="F28" s="231">
        <f>IF(F333=1,"N/A",IF(F333=2,"N/A",IF(F333=3,"0%",G335)))</f>
        <v>0.2661</v>
      </c>
      <c r="G28" s="229">
        <f>IF(F333&lt;4,"N/A",F314)</f>
        <v>652.24</v>
      </c>
      <c r="H28" s="129"/>
      <c r="I28" s="135"/>
      <c r="J28" s="129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29"/>
      <c r="AB28" s="130"/>
      <c r="AC28" s="130"/>
    </row>
    <row r="29" spans="1:37" ht="13.5" customHeight="1" x14ac:dyDescent="0.2">
      <c r="A29" s="129"/>
      <c r="B29" s="129"/>
      <c r="C29" s="227"/>
      <c r="D29" s="228"/>
      <c r="E29" s="228"/>
      <c r="F29" s="232"/>
      <c r="G29" s="230"/>
      <c r="H29" s="129"/>
      <c r="I29" s="135"/>
      <c r="J29" s="129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29"/>
      <c r="AB29" s="130"/>
      <c r="AC29" s="130"/>
    </row>
    <row r="30" spans="1:37" ht="13.5" customHeight="1" x14ac:dyDescent="0.2">
      <c r="A30" s="129"/>
      <c r="B30" s="129"/>
      <c r="C30" s="225" t="str">
        <f>IF(F333&gt;2,"Interest Savings (Your Client Saves)","N/A")</f>
        <v>Interest Savings (Your Client Saves)</v>
      </c>
      <c r="D30" s="226"/>
      <c r="E30" s="226"/>
      <c r="F30" s="226"/>
      <c r="G30" s="229">
        <f>IF(F333&gt;2,$G$341,"N/A")</f>
        <v>448.56</v>
      </c>
      <c r="H30" s="129"/>
      <c r="I30" s="135"/>
      <c r="J30" s="129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29"/>
      <c r="AB30" s="130"/>
      <c r="AC30" s="130"/>
    </row>
    <row r="31" spans="1:37" ht="13.5" customHeight="1" x14ac:dyDescent="0.2">
      <c r="A31" s="129"/>
      <c r="B31" s="129"/>
      <c r="C31" s="227"/>
      <c r="D31" s="228"/>
      <c r="E31" s="228"/>
      <c r="F31" s="228"/>
      <c r="G31" s="230"/>
      <c r="H31" s="129"/>
      <c r="I31" s="135"/>
      <c r="J31" s="129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29"/>
      <c r="AB31" s="130"/>
      <c r="AC31" s="130"/>
    </row>
    <row r="32" spans="1:37" ht="13.5" customHeight="1" x14ac:dyDescent="0.2">
      <c r="A32" s="129"/>
      <c r="B32" s="129"/>
      <c r="C32" s="243" t="s">
        <v>138</v>
      </c>
      <c r="D32" s="243"/>
      <c r="E32" s="243"/>
      <c r="F32" s="243"/>
      <c r="G32" s="243"/>
      <c r="H32" s="129"/>
      <c r="I32" s="135"/>
      <c r="J32" s="129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29"/>
      <c r="AB32" s="130"/>
      <c r="AC32" s="130"/>
    </row>
    <row r="33" spans="1:29" ht="13.5" customHeight="1" x14ac:dyDescent="0.2">
      <c r="A33" s="129"/>
      <c r="B33" s="129"/>
      <c r="C33" s="243"/>
      <c r="D33" s="243"/>
      <c r="E33" s="243"/>
      <c r="F33" s="243"/>
      <c r="G33" s="243"/>
      <c r="H33" s="129"/>
      <c r="I33" s="135"/>
      <c r="J33" s="129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29"/>
      <c r="AB33" s="130"/>
      <c r="AC33" s="130"/>
    </row>
    <row r="34" spans="1:29" ht="13.5" customHeight="1" x14ac:dyDescent="0.2">
      <c r="A34" s="129"/>
      <c r="B34" s="129"/>
      <c r="C34" s="244" t="str">
        <f>C344</f>
        <v>Purchase Price - Deposit</v>
      </c>
      <c r="D34" s="244"/>
      <c r="E34" s="244"/>
      <c r="F34" s="244"/>
      <c r="G34" s="245">
        <f>G344</f>
        <v>2200</v>
      </c>
      <c r="H34" s="129"/>
      <c r="I34" s="135"/>
      <c r="J34" s="129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29"/>
      <c r="AB34" s="130"/>
      <c r="AC34" s="130"/>
    </row>
    <row r="35" spans="1:29" ht="13.5" customHeight="1" x14ac:dyDescent="0.2">
      <c r="A35" s="129"/>
      <c r="B35" s="129"/>
      <c r="C35" s="244"/>
      <c r="D35" s="244"/>
      <c r="E35" s="244"/>
      <c r="F35" s="244"/>
      <c r="G35" s="245"/>
      <c r="H35" s="129"/>
      <c r="I35" s="135"/>
      <c r="J35" s="129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29"/>
      <c r="AB35" s="130"/>
      <c r="AC35" s="130"/>
    </row>
    <row r="36" spans="1:29" ht="13.5" customHeight="1" x14ac:dyDescent="0.2">
      <c r="A36" s="129"/>
      <c r="B36" s="129"/>
      <c r="C36" s="246" t="str">
        <f>C346</f>
        <v>No Rebate or Retention</v>
      </c>
      <c r="D36" s="246"/>
      <c r="E36" s="246"/>
      <c r="F36" s="246"/>
      <c r="G36" s="247">
        <f>G346</f>
        <v>0</v>
      </c>
      <c r="H36" s="129"/>
      <c r="I36" s="135"/>
      <c r="J36" s="129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29"/>
      <c r="AB36" s="130"/>
      <c r="AC36" s="130"/>
    </row>
    <row r="37" spans="1:29" ht="13.5" customHeight="1" x14ac:dyDescent="0.2">
      <c r="A37" s="129"/>
      <c r="B37" s="129"/>
      <c r="C37" s="246"/>
      <c r="D37" s="246"/>
      <c r="E37" s="246"/>
      <c r="F37" s="246"/>
      <c r="G37" s="247"/>
      <c r="H37" s="129"/>
      <c r="I37" s="135"/>
      <c r="J37" s="129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29"/>
      <c r="AB37" s="130"/>
      <c r="AC37" s="130"/>
    </row>
    <row r="38" spans="1:29" ht="13.5" customHeight="1" x14ac:dyDescent="0.2">
      <c r="A38" s="129"/>
      <c r="B38" s="129"/>
      <c r="C38" s="246" t="str">
        <f>C348</f>
        <v>No Rebate or Retention</v>
      </c>
      <c r="D38" s="246"/>
      <c r="E38" s="246"/>
      <c r="F38" s="246"/>
      <c r="G38" s="248">
        <f>G348</f>
        <v>0</v>
      </c>
      <c r="H38" s="129"/>
      <c r="I38" s="135"/>
      <c r="J38" s="129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29"/>
      <c r="AB38" s="130"/>
      <c r="AC38" s="130"/>
    </row>
    <row r="39" spans="1:29" ht="13.5" customHeight="1" x14ac:dyDescent="0.2">
      <c r="A39" s="129"/>
      <c r="B39" s="129"/>
      <c r="C39" s="246"/>
      <c r="D39" s="246"/>
      <c r="E39" s="246"/>
      <c r="F39" s="246"/>
      <c r="G39" s="248"/>
      <c r="H39" s="129"/>
      <c r="I39" s="135"/>
      <c r="J39" s="129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29"/>
      <c r="AB39" s="130"/>
      <c r="AC39" s="130"/>
    </row>
    <row r="40" spans="1:29" ht="13.5" customHeight="1" x14ac:dyDescent="0.2">
      <c r="A40" s="129"/>
      <c r="B40" s="129"/>
      <c r="C40" s="244" t="str">
        <f>C350</f>
        <v>Total Payable to your Bank Account</v>
      </c>
      <c r="D40" s="244"/>
      <c r="E40" s="244"/>
      <c r="F40" s="244"/>
      <c r="G40" s="251">
        <f>G350</f>
        <v>2200</v>
      </c>
      <c r="H40" s="129"/>
      <c r="I40" s="135"/>
      <c r="J40" s="129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29"/>
      <c r="AB40" s="130"/>
      <c r="AC40" s="130"/>
    </row>
    <row r="41" spans="1:29" ht="14.45" customHeight="1" x14ac:dyDescent="0.2">
      <c r="A41" s="129"/>
      <c r="B41" s="129"/>
      <c r="C41" s="244"/>
      <c r="D41" s="244"/>
      <c r="E41" s="244"/>
      <c r="F41" s="244"/>
      <c r="G41" s="251"/>
      <c r="H41" s="129"/>
      <c r="I41" s="135"/>
      <c r="J41" s="129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29"/>
      <c r="AB41" s="130"/>
      <c r="AC41" s="130"/>
    </row>
    <row r="42" spans="1:29" ht="15.6" customHeight="1" x14ac:dyDescent="0.2">
      <c r="A42" s="129"/>
      <c r="B42" s="129"/>
      <c r="C42" s="252" t="s">
        <v>95</v>
      </c>
      <c r="D42" s="252"/>
      <c r="E42" s="252"/>
      <c r="F42" s="252"/>
      <c r="G42" s="252"/>
      <c r="H42" s="129"/>
      <c r="I42" s="135"/>
      <c r="J42" s="129"/>
      <c r="K42" s="253"/>
      <c r="L42" s="253"/>
      <c r="M42" s="253"/>
      <c r="N42" s="253"/>
      <c r="O42" s="253"/>
      <c r="P42" s="253"/>
      <c r="Q42" s="253"/>
      <c r="R42" s="241"/>
      <c r="S42" s="241"/>
      <c r="T42" s="241"/>
      <c r="U42" s="241"/>
      <c r="V42" s="241"/>
      <c r="W42" s="241"/>
      <c r="X42" s="241"/>
      <c r="Y42" s="241"/>
      <c r="Z42" s="241"/>
      <c r="AA42" s="150"/>
      <c r="AB42" s="130"/>
      <c r="AC42" s="130"/>
    </row>
    <row r="43" spans="1:29" ht="12" customHeight="1" x14ac:dyDescent="0.2">
      <c r="A43" s="129"/>
      <c r="B43" s="129"/>
      <c r="C43" s="242" t="s">
        <v>142</v>
      </c>
      <c r="D43" s="242"/>
      <c r="E43" s="242"/>
      <c r="F43" s="151" t="s">
        <v>82</v>
      </c>
      <c r="G43" s="179"/>
      <c r="H43" s="129"/>
      <c r="I43" s="135"/>
      <c r="J43" s="129"/>
      <c r="K43" s="253"/>
      <c r="L43" s="253"/>
      <c r="M43" s="253"/>
      <c r="N43" s="253"/>
      <c r="O43" s="253"/>
      <c r="P43" s="253"/>
      <c r="Q43" s="253"/>
      <c r="R43" s="241"/>
      <c r="S43" s="241"/>
      <c r="T43" s="241"/>
      <c r="U43" s="241"/>
      <c r="V43" s="241"/>
      <c r="W43" s="241"/>
      <c r="X43" s="241"/>
      <c r="Y43" s="241"/>
      <c r="Z43" s="241"/>
      <c r="AA43" s="150"/>
      <c r="AB43" s="130"/>
      <c r="AC43" s="130"/>
    </row>
    <row r="44" spans="1:29" ht="8.4499999999999993" customHeight="1" x14ac:dyDescent="0.2">
      <c r="A44" s="129"/>
      <c r="B44" s="129"/>
      <c r="C44" s="186"/>
      <c r="D44" s="186"/>
      <c r="E44" s="186"/>
      <c r="F44" s="151"/>
      <c r="G44" s="179"/>
      <c r="H44" s="129"/>
      <c r="I44" s="135"/>
      <c r="J44" s="129"/>
      <c r="K44" s="184"/>
      <c r="L44" s="184"/>
      <c r="M44" s="184"/>
      <c r="N44" s="184"/>
      <c r="O44" s="184"/>
      <c r="P44" s="184"/>
      <c r="Q44" s="184"/>
      <c r="R44" s="185"/>
      <c r="S44" s="185"/>
      <c r="T44" s="185"/>
      <c r="U44" s="185"/>
      <c r="V44" s="185"/>
      <c r="W44" s="185"/>
      <c r="X44" s="185"/>
      <c r="Y44" s="185"/>
      <c r="Z44" s="185"/>
      <c r="AA44" s="150"/>
      <c r="AB44" s="130"/>
      <c r="AC44" s="130"/>
    </row>
    <row r="45" spans="1:29" ht="13.5" customHeight="1" x14ac:dyDescent="0.2">
      <c r="A45" s="129"/>
      <c r="B45" s="129"/>
      <c r="C45" s="249" t="s">
        <v>175</v>
      </c>
      <c r="D45" s="250"/>
      <c r="E45" s="250"/>
      <c r="F45" s="250"/>
      <c r="G45" s="250"/>
      <c r="H45" s="129"/>
      <c r="I45" s="135"/>
      <c r="J45" s="129"/>
      <c r="K45" s="184"/>
      <c r="L45" s="184"/>
      <c r="M45" s="184"/>
      <c r="N45" s="184"/>
      <c r="O45" s="184"/>
      <c r="P45" s="184"/>
      <c r="Q45" s="184"/>
      <c r="R45" s="185"/>
      <c r="S45" s="185"/>
      <c r="T45" s="185"/>
      <c r="U45" s="185"/>
      <c r="V45" s="185"/>
      <c r="W45" s="185"/>
      <c r="X45" s="185"/>
      <c r="Y45" s="185"/>
      <c r="Z45" s="185"/>
      <c r="AA45" s="150"/>
      <c r="AB45" s="130"/>
      <c r="AC45" s="130"/>
    </row>
    <row r="46" spans="1:29" ht="18" customHeight="1" x14ac:dyDescent="0.2">
      <c r="A46" s="129"/>
      <c r="B46" s="129"/>
      <c r="C46" s="250"/>
      <c r="D46" s="250"/>
      <c r="E46" s="250"/>
      <c r="F46" s="250"/>
      <c r="G46" s="250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30"/>
      <c r="AC46" s="130"/>
    </row>
    <row r="47" spans="1:29" ht="12.75" customHeight="1" x14ac:dyDescent="0.2">
      <c r="A47" s="129"/>
      <c r="B47" s="129"/>
      <c r="C47" s="143"/>
      <c r="D47" s="138"/>
      <c r="E47" s="129"/>
      <c r="F47" s="138"/>
      <c r="G47" s="138"/>
      <c r="H47" s="138"/>
      <c r="I47" s="138"/>
      <c r="J47" s="138"/>
      <c r="K47" s="130"/>
      <c r="L47" s="130"/>
      <c r="M47" s="130"/>
      <c r="N47" s="130"/>
      <c r="O47" s="130"/>
      <c r="P47" s="130"/>
      <c r="Q47" s="130"/>
      <c r="R47" s="130"/>
      <c r="S47" s="129"/>
      <c r="T47" s="129"/>
      <c r="U47" s="129"/>
      <c r="V47" s="130"/>
      <c r="W47" s="130"/>
      <c r="X47" s="130"/>
      <c r="Y47" s="130"/>
      <c r="Z47" s="152"/>
      <c r="AA47" s="130"/>
      <c r="AB47" s="130"/>
      <c r="AC47" s="130"/>
    </row>
    <row r="48" spans="1:29" ht="12.75" customHeight="1" x14ac:dyDescent="0.2">
      <c r="A48" s="129"/>
      <c r="B48" s="129"/>
      <c r="C48" s="143"/>
      <c r="D48" s="138"/>
      <c r="E48" s="129"/>
      <c r="F48" s="138"/>
      <c r="G48" s="138"/>
      <c r="H48" s="138"/>
      <c r="I48" s="138"/>
      <c r="J48" s="138"/>
      <c r="K48" s="130"/>
      <c r="L48" s="130"/>
      <c r="M48" s="130"/>
      <c r="N48" s="130"/>
      <c r="O48" s="130"/>
      <c r="P48" s="130"/>
      <c r="Q48" s="130"/>
      <c r="R48" s="130"/>
      <c r="S48" s="129"/>
      <c r="T48" s="129"/>
      <c r="U48" s="129"/>
      <c r="V48" s="130"/>
      <c r="W48" s="130"/>
      <c r="X48" s="130"/>
      <c r="Y48" s="130"/>
      <c r="Z48" s="152"/>
      <c r="AA48" s="130"/>
      <c r="AB48" s="130"/>
      <c r="AC48" s="130"/>
    </row>
    <row r="49" spans="1:29" ht="12.75" customHeight="1" x14ac:dyDescent="0.2">
      <c r="A49" s="129"/>
      <c r="B49" s="129"/>
      <c r="C49" s="143"/>
      <c r="D49" s="138"/>
      <c r="E49" s="129"/>
      <c r="F49" s="138"/>
      <c r="G49" s="138"/>
      <c r="H49" s="138"/>
      <c r="I49" s="138"/>
      <c r="J49" s="138"/>
      <c r="K49" s="130"/>
      <c r="L49" s="130"/>
      <c r="M49" s="130"/>
      <c r="N49" s="130"/>
      <c r="O49" s="130"/>
      <c r="P49" s="130"/>
      <c r="Q49" s="130"/>
      <c r="R49" s="130"/>
      <c r="S49" s="129"/>
      <c r="T49" s="129"/>
      <c r="U49" s="129"/>
      <c r="V49" s="130"/>
      <c r="W49" s="130"/>
      <c r="X49" s="130"/>
      <c r="Y49" s="130"/>
      <c r="Z49" s="152"/>
      <c r="AA49" s="130"/>
      <c r="AB49" s="130"/>
      <c r="AC49" s="130"/>
    </row>
    <row r="50" spans="1:29" ht="12.75" customHeight="1" x14ac:dyDescent="0.2">
      <c r="A50" s="129"/>
      <c r="B50" s="129"/>
      <c r="C50" s="143"/>
      <c r="D50" s="138"/>
      <c r="E50" s="129"/>
      <c r="F50" s="138"/>
      <c r="G50" s="138"/>
      <c r="H50" s="138"/>
      <c r="I50" s="138"/>
      <c r="J50" s="138"/>
      <c r="K50" s="130"/>
      <c r="L50" s="130"/>
      <c r="M50" s="130"/>
      <c r="N50" s="130"/>
      <c r="O50" s="130"/>
      <c r="P50" s="130"/>
      <c r="Q50" s="130"/>
      <c r="R50" s="130"/>
      <c r="S50" s="129"/>
      <c r="T50" s="129"/>
      <c r="U50" s="129"/>
      <c r="V50" s="130"/>
      <c r="W50" s="130"/>
      <c r="X50" s="130"/>
      <c r="Y50" s="130"/>
      <c r="Z50" s="152"/>
      <c r="AA50" s="130"/>
      <c r="AB50" s="130"/>
      <c r="AC50" s="130"/>
    </row>
    <row r="51" spans="1:29" ht="12.75" customHeight="1" x14ac:dyDescent="0.2">
      <c r="A51" s="129"/>
      <c r="B51" s="129"/>
      <c r="C51" s="143"/>
      <c r="D51" s="138"/>
      <c r="E51" s="129"/>
      <c r="F51" s="138"/>
      <c r="G51" s="138"/>
      <c r="H51" s="138"/>
      <c r="I51" s="138"/>
      <c r="J51" s="138"/>
      <c r="K51" s="130"/>
      <c r="L51" s="130"/>
      <c r="M51" s="130"/>
      <c r="N51" s="130"/>
      <c r="O51" s="130"/>
      <c r="P51" s="130"/>
      <c r="Q51" s="130"/>
      <c r="R51" s="130"/>
      <c r="S51" s="129"/>
      <c r="T51" s="129"/>
      <c r="U51" s="129"/>
      <c r="V51" s="130"/>
      <c r="W51" s="130"/>
      <c r="X51" s="130"/>
      <c r="Y51" s="130"/>
      <c r="Z51" s="152"/>
      <c r="AA51" s="130"/>
      <c r="AB51" s="130"/>
      <c r="AC51" s="130"/>
    </row>
    <row r="52" spans="1:29" ht="12.75" customHeight="1" x14ac:dyDescent="0.2">
      <c r="A52" s="129"/>
      <c r="B52" s="129"/>
      <c r="C52" s="143"/>
      <c r="D52" s="138"/>
      <c r="E52" s="129"/>
      <c r="F52" s="138"/>
      <c r="G52" s="138"/>
      <c r="H52" s="138"/>
      <c r="I52" s="138"/>
      <c r="J52" s="138"/>
      <c r="K52" s="130"/>
      <c r="L52" s="130"/>
      <c r="M52" s="130"/>
      <c r="N52" s="130"/>
      <c r="O52" s="130"/>
      <c r="P52" s="130"/>
      <c r="Q52" s="130"/>
      <c r="R52" s="130"/>
      <c r="S52" s="129"/>
      <c r="T52" s="129"/>
      <c r="U52" s="129"/>
      <c r="V52" s="130"/>
      <c r="W52" s="130"/>
      <c r="X52" s="130"/>
      <c r="Y52" s="130"/>
      <c r="Z52" s="152"/>
      <c r="AA52" s="130"/>
      <c r="AB52" s="130"/>
      <c r="AC52" s="130"/>
    </row>
    <row r="53" spans="1:29" ht="12.75" customHeight="1" x14ac:dyDescent="0.2">
      <c r="A53" s="129"/>
      <c r="B53" s="129"/>
      <c r="C53" s="143"/>
      <c r="D53" s="138"/>
      <c r="E53" s="129"/>
      <c r="F53" s="138"/>
      <c r="G53" s="138"/>
      <c r="H53" s="138"/>
      <c r="I53" s="138"/>
      <c r="J53" s="138"/>
      <c r="K53" s="130"/>
      <c r="L53" s="130"/>
      <c r="M53" s="130"/>
      <c r="N53" s="130"/>
      <c r="O53" s="130"/>
      <c r="P53" s="130"/>
      <c r="Q53" s="130"/>
      <c r="R53" s="130"/>
      <c r="S53" s="129"/>
      <c r="T53" s="129"/>
      <c r="U53" s="129"/>
      <c r="V53" s="130"/>
      <c r="W53" s="130"/>
      <c r="X53" s="130"/>
      <c r="Y53" s="130"/>
      <c r="Z53" s="152"/>
      <c r="AA53" s="130"/>
      <c r="AB53" s="130"/>
      <c r="AC53" s="130"/>
    </row>
    <row r="54" spans="1:29" ht="12.75" customHeight="1" x14ac:dyDescent="0.2">
      <c r="A54" s="129"/>
      <c r="B54" s="129"/>
      <c r="C54" s="143"/>
      <c r="D54" s="138"/>
      <c r="E54" s="129"/>
      <c r="F54" s="138"/>
      <c r="G54" s="138"/>
      <c r="H54" s="138"/>
      <c r="I54" s="138"/>
      <c r="J54" s="138"/>
      <c r="K54" s="130"/>
      <c r="L54" s="130"/>
      <c r="M54" s="130"/>
      <c r="N54" s="130"/>
      <c r="O54" s="130"/>
      <c r="P54" s="130"/>
      <c r="Q54" s="130"/>
      <c r="R54" s="130"/>
      <c r="S54" s="129"/>
      <c r="T54" s="129"/>
      <c r="U54" s="129"/>
      <c r="V54" s="130"/>
      <c r="W54" s="130"/>
      <c r="X54" s="130"/>
      <c r="Y54" s="130"/>
      <c r="Z54" s="152"/>
      <c r="AA54" s="130"/>
      <c r="AB54" s="130"/>
      <c r="AC54" s="130"/>
    </row>
    <row r="55" spans="1:29" ht="12.75" customHeight="1" x14ac:dyDescent="0.2">
      <c r="A55" s="129"/>
      <c r="B55" s="129"/>
      <c r="C55" s="143"/>
      <c r="D55" s="138"/>
      <c r="E55" s="129"/>
      <c r="F55" s="138"/>
      <c r="G55" s="138"/>
      <c r="H55" s="138"/>
      <c r="I55" s="138"/>
      <c r="J55" s="138"/>
      <c r="K55" s="130"/>
      <c r="L55" s="130"/>
      <c r="M55" s="130"/>
      <c r="N55" s="130"/>
      <c r="O55" s="130"/>
      <c r="P55" s="130"/>
      <c r="Q55" s="130"/>
      <c r="R55" s="130"/>
      <c r="S55" s="129"/>
      <c r="T55" s="129"/>
      <c r="U55" s="129"/>
      <c r="V55" s="130"/>
      <c r="W55" s="130"/>
      <c r="X55" s="130"/>
      <c r="Y55" s="130"/>
      <c r="Z55" s="152"/>
      <c r="AA55" s="130"/>
      <c r="AB55" s="130"/>
      <c r="AC55" s="130"/>
    </row>
    <row r="56" spans="1:29" ht="12.75" customHeight="1" x14ac:dyDescent="0.2">
      <c r="A56" s="129"/>
      <c r="B56" s="129"/>
      <c r="C56" s="143"/>
      <c r="D56" s="138"/>
      <c r="E56" s="129"/>
      <c r="F56" s="138"/>
      <c r="G56" s="138"/>
      <c r="H56" s="138"/>
      <c r="I56" s="138"/>
      <c r="J56" s="138"/>
      <c r="K56" s="130"/>
      <c r="L56" s="130"/>
      <c r="M56" s="130"/>
      <c r="N56" s="130"/>
      <c r="O56" s="130"/>
      <c r="P56" s="130"/>
      <c r="Q56" s="130"/>
      <c r="R56" s="130"/>
      <c r="S56" s="129"/>
      <c r="T56" s="129"/>
      <c r="U56" s="129"/>
      <c r="V56" s="130"/>
      <c r="W56" s="130"/>
      <c r="X56" s="130"/>
      <c r="Y56" s="130"/>
      <c r="Z56" s="152"/>
      <c r="AA56" s="130"/>
      <c r="AB56" s="130"/>
      <c r="AC56" s="130"/>
    </row>
    <row r="57" spans="1:29" ht="12.75" customHeight="1" x14ac:dyDescent="0.2">
      <c r="A57" s="129"/>
      <c r="B57" s="129"/>
      <c r="C57" s="143"/>
      <c r="D57" s="138"/>
      <c r="E57" s="129"/>
      <c r="F57" s="138"/>
      <c r="G57" s="138"/>
      <c r="H57" s="138"/>
      <c r="I57" s="138"/>
      <c r="J57" s="138"/>
      <c r="K57" s="130"/>
      <c r="L57" s="130"/>
      <c r="M57" s="130"/>
      <c r="N57" s="130"/>
      <c r="O57" s="130"/>
      <c r="P57" s="130"/>
      <c r="Q57" s="130"/>
      <c r="R57" s="130"/>
      <c r="S57" s="129"/>
      <c r="T57" s="129"/>
      <c r="U57" s="129"/>
      <c r="V57" s="130"/>
      <c r="W57" s="130"/>
      <c r="X57" s="130"/>
      <c r="Y57" s="130"/>
      <c r="Z57" s="152"/>
      <c r="AA57" s="130"/>
      <c r="AB57" s="130"/>
      <c r="AC57" s="130"/>
    </row>
    <row r="58" spans="1:29" ht="12.75" customHeight="1" x14ac:dyDescent="0.2">
      <c r="A58" s="129"/>
      <c r="B58" s="129"/>
      <c r="C58" s="143"/>
      <c r="D58" s="138"/>
      <c r="E58" s="129"/>
      <c r="F58" s="138"/>
      <c r="G58" s="138"/>
      <c r="H58" s="138"/>
      <c r="I58" s="138"/>
      <c r="J58" s="138"/>
      <c r="K58" s="130"/>
      <c r="L58" s="130"/>
      <c r="M58" s="130"/>
      <c r="N58" s="130"/>
      <c r="O58" s="130"/>
      <c r="P58" s="130"/>
      <c r="Q58" s="130"/>
      <c r="R58" s="130"/>
      <c r="S58" s="129"/>
      <c r="T58" s="129"/>
      <c r="U58" s="129"/>
      <c r="V58" s="130"/>
      <c r="W58" s="130"/>
      <c r="X58" s="130"/>
      <c r="Y58" s="130"/>
      <c r="Z58" s="152"/>
      <c r="AA58" s="130"/>
      <c r="AB58" s="130"/>
      <c r="AC58" s="130"/>
    </row>
    <row r="59" spans="1:29" ht="12.75" customHeight="1" x14ac:dyDescent="0.2">
      <c r="A59" s="129"/>
      <c r="B59" s="129"/>
      <c r="C59" s="143"/>
      <c r="D59" s="138"/>
      <c r="E59" s="129"/>
      <c r="F59" s="138"/>
      <c r="G59" s="138"/>
      <c r="H59" s="138"/>
      <c r="I59" s="138"/>
      <c r="J59" s="138"/>
      <c r="K59" s="130"/>
      <c r="L59" s="130"/>
      <c r="M59" s="130"/>
      <c r="N59" s="130"/>
      <c r="O59" s="130"/>
      <c r="P59" s="130"/>
      <c r="Q59" s="130"/>
      <c r="R59" s="130"/>
      <c r="S59" s="129"/>
      <c r="T59" s="129"/>
      <c r="U59" s="129"/>
      <c r="V59" s="130"/>
      <c r="W59" s="130"/>
      <c r="X59" s="130"/>
      <c r="Y59" s="130"/>
      <c r="Z59" s="152"/>
      <c r="AA59" s="130"/>
      <c r="AB59" s="130"/>
      <c r="AC59" s="130"/>
    </row>
    <row r="60" spans="1:29" ht="12.75" customHeight="1" x14ac:dyDescent="0.2">
      <c r="A60" s="129"/>
      <c r="B60" s="129"/>
      <c r="C60" s="143"/>
      <c r="D60" s="138"/>
      <c r="E60" s="129"/>
      <c r="F60" s="138"/>
      <c r="G60" s="138"/>
      <c r="H60" s="138"/>
      <c r="I60" s="138"/>
      <c r="J60" s="138"/>
      <c r="K60" s="130"/>
      <c r="L60" s="130"/>
      <c r="M60" s="130"/>
      <c r="N60" s="130"/>
      <c r="O60" s="130"/>
      <c r="P60" s="130"/>
      <c r="Q60" s="130"/>
      <c r="R60" s="130"/>
      <c r="S60" s="129"/>
      <c r="T60" s="129"/>
      <c r="U60" s="129"/>
      <c r="V60" s="130"/>
      <c r="W60" s="130"/>
      <c r="X60" s="130"/>
      <c r="Y60" s="130"/>
      <c r="Z60" s="152"/>
      <c r="AA60" s="130"/>
      <c r="AB60" s="130"/>
      <c r="AC60" s="130"/>
    </row>
    <row r="61" spans="1:29" ht="12.75" customHeight="1" x14ac:dyDescent="0.2">
      <c r="A61" s="129"/>
      <c r="B61" s="129"/>
      <c r="C61" s="143"/>
      <c r="D61" s="138"/>
      <c r="E61" s="129"/>
      <c r="F61" s="138"/>
      <c r="G61" s="138"/>
      <c r="H61" s="138"/>
      <c r="I61" s="138"/>
      <c r="J61" s="138"/>
      <c r="K61" s="130"/>
      <c r="L61" s="130"/>
      <c r="M61" s="130"/>
      <c r="N61" s="130"/>
      <c r="O61" s="130"/>
      <c r="P61" s="130"/>
      <c r="Q61" s="130"/>
      <c r="R61" s="130"/>
      <c r="S61" s="129"/>
      <c r="T61" s="129"/>
      <c r="U61" s="129"/>
      <c r="V61" s="130"/>
      <c r="W61" s="130"/>
      <c r="X61" s="130"/>
      <c r="Y61" s="130"/>
      <c r="Z61" s="152"/>
      <c r="AA61" s="130"/>
      <c r="AB61" s="130"/>
      <c r="AC61" s="130"/>
    </row>
    <row r="62" spans="1:29" ht="12.75" customHeight="1" x14ac:dyDescent="0.2">
      <c r="A62" s="129"/>
      <c r="B62" s="129"/>
      <c r="C62" s="143"/>
      <c r="D62" s="138"/>
      <c r="E62" s="129"/>
      <c r="F62" s="138"/>
      <c r="G62" s="138"/>
      <c r="H62" s="138"/>
      <c r="I62" s="138"/>
      <c r="J62" s="138"/>
      <c r="K62" s="130"/>
      <c r="L62" s="130"/>
      <c r="M62" s="130"/>
      <c r="N62" s="130"/>
      <c r="O62" s="130"/>
      <c r="P62" s="130"/>
      <c r="Q62" s="130"/>
      <c r="R62" s="130"/>
      <c r="S62" s="129"/>
      <c r="T62" s="129"/>
      <c r="U62" s="129"/>
      <c r="V62" s="130"/>
      <c r="W62" s="130"/>
      <c r="X62" s="130"/>
      <c r="Y62" s="130"/>
      <c r="Z62" s="152"/>
      <c r="AA62" s="130"/>
      <c r="AB62" s="130"/>
      <c r="AC62" s="130"/>
    </row>
    <row r="63" spans="1:29" ht="12.75" customHeight="1" x14ac:dyDescent="0.2">
      <c r="A63" s="129"/>
      <c r="B63" s="129"/>
      <c r="C63" s="143"/>
      <c r="D63" s="138"/>
      <c r="E63" s="129"/>
      <c r="F63" s="138"/>
      <c r="G63" s="138"/>
      <c r="H63" s="138"/>
      <c r="I63" s="138"/>
      <c r="J63" s="138"/>
      <c r="K63" s="130"/>
      <c r="L63" s="130"/>
      <c r="M63" s="130"/>
      <c r="N63" s="130"/>
      <c r="O63" s="130"/>
      <c r="P63" s="130"/>
      <c r="Q63" s="130"/>
      <c r="R63" s="130"/>
      <c r="S63" s="129"/>
      <c r="T63" s="129"/>
      <c r="U63" s="129"/>
      <c r="V63" s="130"/>
      <c r="W63" s="130"/>
      <c r="X63" s="130"/>
      <c r="Y63" s="130"/>
      <c r="Z63" s="152"/>
      <c r="AA63" s="130"/>
      <c r="AB63" s="130"/>
      <c r="AC63" s="130"/>
    </row>
    <row r="64" spans="1:29" ht="12.75" customHeight="1" x14ac:dyDescent="0.2">
      <c r="A64" s="129"/>
      <c r="B64" s="129"/>
      <c r="C64" s="143"/>
      <c r="D64" s="138"/>
      <c r="E64" s="129"/>
      <c r="F64" s="138"/>
      <c r="G64" s="138"/>
      <c r="H64" s="138"/>
      <c r="I64" s="138"/>
      <c r="J64" s="138"/>
      <c r="K64" s="130"/>
      <c r="L64" s="130"/>
      <c r="M64" s="130"/>
      <c r="N64" s="130"/>
      <c r="O64" s="130"/>
      <c r="P64" s="130"/>
      <c r="Q64" s="130"/>
      <c r="R64" s="130"/>
      <c r="S64" s="129"/>
      <c r="T64" s="129"/>
      <c r="U64" s="129"/>
      <c r="V64" s="130"/>
      <c r="W64" s="130"/>
      <c r="X64" s="130"/>
      <c r="Y64" s="130"/>
      <c r="Z64" s="152"/>
      <c r="AA64" s="130"/>
      <c r="AB64" s="130"/>
      <c r="AC64" s="130"/>
    </row>
    <row r="65" spans="1:29" ht="12.75" customHeight="1" x14ac:dyDescent="0.2">
      <c r="A65" s="129"/>
      <c r="B65" s="129"/>
      <c r="C65" s="143"/>
      <c r="D65" s="138"/>
      <c r="E65" s="129"/>
      <c r="F65" s="138"/>
      <c r="G65" s="138"/>
      <c r="H65" s="138"/>
      <c r="I65" s="138"/>
      <c r="J65" s="138"/>
      <c r="K65" s="130"/>
      <c r="L65" s="130"/>
      <c r="M65" s="130"/>
      <c r="N65" s="130"/>
      <c r="O65" s="130"/>
      <c r="P65" s="130"/>
      <c r="Q65" s="130"/>
      <c r="R65" s="130"/>
      <c r="S65" s="129"/>
      <c r="T65" s="129"/>
      <c r="U65" s="129"/>
      <c r="V65" s="130"/>
      <c r="W65" s="130"/>
      <c r="X65" s="130"/>
      <c r="Y65" s="130"/>
      <c r="Z65" s="152"/>
      <c r="AA65" s="130"/>
      <c r="AB65" s="130"/>
      <c r="AC65" s="130"/>
    </row>
    <row r="66" spans="1:29" ht="12.75" customHeight="1" x14ac:dyDescent="0.2">
      <c r="A66" s="129"/>
      <c r="B66" s="129"/>
      <c r="C66" s="143"/>
      <c r="D66" s="138"/>
      <c r="E66" s="129"/>
      <c r="F66" s="138"/>
      <c r="G66" s="138"/>
      <c r="H66" s="138"/>
      <c r="I66" s="138"/>
      <c r="J66" s="138"/>
      <c r="K66" s="130"/>
      <c r="L66" s="130"/>
      <c r="M66" s="130"/>
      <c r="N66" s="130"/>
      <c r="O66" s="130"/>
      <c r="P66" s="130"/>
      <c r="Q66" s="130"/>
      <c r="R66" s="130"/>
      <c r="S66" s="129"/>
      <c r="T66" s="129"/>
      <c r="U66" s="129"/>
      <c r="V66" s="130"/>
      <c r="W66" s="130"/>
      <c r="X66" s="130"/>
      <c r="Y66" s="130"/>
      <c r="Z66" s="152"/>
      <c r="AA66" s="130"/>
      <c r="AB66" s="130"/>
      <c r="AC66" s="130"/>
    </row>
    <row r="67" spans="1:29" ht="12.75" customHeight="1" x14ac:dyDescent="0.2">
      <c r="A67" s="129"/>
      <c r="B67" s="129"/>
      <c r="C67" s="143"/>
      <c r="D67" s="138"/>
      <c r="E67" s="129"/>
      <c r="F67" s="138"/>
      <c r="G67" s="138"/>
      <c r="H67" s="138"/>
      <c r="I67" s="138"/>
      <c r="J67" s="138"/>
      <c r="K67" s="130"/>
      <c r="L67" s="130"/>
      <c r="M67" s="130"/>
      <c r="N67" s="130"/>
      <c r="O67" s="130"/>
      <c r="P67" s="130"/>
      <c r="Q67" s="130"/>
      <c r="R67" s="130"/>
      <c r="S67" s="129"/>
      <c r="T67" s="129"/>
      <c r="U67" s="129"/>
      <c r="V67" s="130"/>
      <c r="W67" s="130"/>
      <c r="X67" s="130"/>
      <c r="Y67" s="130"/>
      <c r="Z67" s="152"/>
      <c r="AA67" s="130"/>
      <c r="AB67" s="130"/>
      <c r="AC67" s="130"/>
    </row>
    <row r="68" spans="1:29" ht="12.75" customHeight="1" x14ac:dyDescent="0.2">
      <c r="A68" s="129"/>
      <c r="B68" s="129"/>
      <c r="C68" s="143"/>
      <c r="D68" s="138"/>
      <c r="E68" s="129"/>
      <c r="F68" s="138"/>
      <c r="G68" s="138"/>
      <c r="H68" s="138"/>
      <c r="I68" s="138"/>
      <c r="J68" s="138"/>
      <c r="K68" s="130"/>
      <c r="L68" s="130"/>
      <c r="M68" s="130"/>
      <c r="N68" s="130"/>
      <c r="O68" s="130"/>
      <c r="P68" s="130"/>
      <c r="Q68" s="130"/>
      <c r="R68" s="130"/>
      <c r="S68" s="129"/>
      <c r="T68" s="129"/>
      <c r="U68" s="129"/>
      <c r="V68" s="130"/>
      <c r="W68" s="130"/>
      <c r="X68" s="130"/>
      <c r="Y68" s="130"/>
      <c r="Z68" s="152"/>
      <c r="AA68" s="130"/>
      <c r="AB68" s="130"/>
      <c r="AC68" s="130"/>
    </row>
    <row r="69" spans="1:29" ht="12.75" customHeight="1" x14ac:dyDescent="0.2">
      <c r="A69" s="129"/>
      <c r="B69" s="129"/>
      <c r="C69" s="143"/>
      <c r="D69" s="138"/>
      <c r="E69" s="129"/>
      <c r="F69" s="138"/>
      <c r="G69" s="138"/>
      <c r="H69" s="138"/>
      <c r="I69" s="138"/>
      <c r="J69" s="138"/>
      <c r="K69" s="130"/>
      <c r="L69" s="130"/>
      <c r="M69" s="130"/>
      <c r="N69" s="130"/>
      <c r="O69" s="130"/>
      <c r="P69" s="130"/>
      <c r="Q69" s="130"/>
      <c r="R69" s="130"/>
      <c r="S69" s="129"/>
      <c r="T69" s="129"/>
      <c r="U69" s="129"/>
      <c r="V69" s="130"/>
      <c r="W69" s="130"/>
      <c r="X69" s="130"/>
      <c r="Y69" s="130"/>
      <c r="Z69" s="152"/>
      <c r="AA69" s="130"/>
      <c r="AB69" s="130"/>
      <c r="AC69" s="130"/>
    </row>
    <row r="70" spans="1:29" ht="12.75" customHeight="1" x14ac:dyDescent="0.2">
      <c r="A70" s="129"/>
      <c r="B70" s="129"/>
      <c r="C70" s="143"/>
      <c r="D70" s="138"/>
      <c r="E70" s="129"/>
      <c r="F70" s="138"/>
      <c r="G70" s="138"/>
      <c r="H70" s="138"/>
      <c r="I70" s="138"/>
      <c r="J70" s="138"/>
      <c r="K70" s="130"/>
      <c r="L70" s="130"/>
      <c r="M70" s="130"/>
      <c r="N70" s="130"/>
      <c r="O70" s="130"/>
      <c r="P70" s="130"/>
      <c r="Q70" s="130"/>
      <c r="R70" s="130"/>
      <c r="S70" s="129"/>
      <c r="T70" s="129"/>
      <c r="U70" s="129"/>
      <c r="V70" s="130"/>
      <c r="W70" s="130"/>
      <c r="X70" s="130"/>
      <c r="Y70" s="130"/>
      <c r="Z70" s="152"/>
      <c r="AA70" s="130"/>
      <c r="AB70" s="130"/>
      <c r="AC70" s="130"/>
    </row>
    <row r="71" spans="1:29" ht="12.75" customHeight="1" x14ac:dyDescent="0.2">
      <c r="A71" s="129"/>
      <c r="B71" s="129"/>
      <c r="C71" s="143"/>
      <c r="D71" s="138"/>
      <c r="E71" s="129"/>
      <c r="F71" s="138"/>
      <c r="G71" s="138"/>
      <c r="H71" s="138"/>
      <c r="I71" s="138"/>
      <c r="J71" s="138"/>
      <c r="K71" s="130"/>
      <c r="L71" s="130"/>
      <c r="M71" s="130"/>
      <c r="N71" s="130"/>
      <c r="O71" s="130"/>
      <c r="P71" s="130"/>
      <c r="Q71" s="130"/>
      <c r="R71" s="130"/>
      <c r="S71" s="129"/>
      <c r="T71" s="129"/>
      <c r="U71" s="129"/>
      <c r="V71" s="130"/>
      <c r="W71" s="130"/>
      <c r="X71" s="130"/>
      <c r="Y71" s="130"/>
      <c r="Z71" s="152"/>
      <c r="AA71" s="130"/>
      <c r="AB71" s="130"/>
      <c r="AC71" s="130"/>
    </row>
    <row r="72" spans="1:29" ht="12.75" customHeight="1" x14ac:dyDescent="0.2">
      <c r="A72" s="129"/>
      <c r="B72" s="129"/>
      <c r="C72" s="143"/>
      <c r="D72" s="138"/>
      <c r="E72" s="129"/>
      <c r="F72" s="138"/>
      <c r="G72" s="138"/>
      <c r="H72" s="138"/>
      <c r="I72" s="138"/>
      <c r="J72" s="138"/>
      <c r="K72" s="130"/>
      <c r="L72" s="130"/>
      <c r="M72" s="130"/>
      <c r="N72" s="130"/>
      <c r="O72" s="130"/>
      <c r="P72" s="130"/>
      <c r="Q72" s="130"/>
      <c r="R72" s="130"/>
      <c r="S72" s="129"/>
      <c r="T72" s="129"/>
      <c r="U72" s="129"/>
      <c r="V72" s="130"/>
      <c r="W72" s="130"/>
      <c r="X72" s="130"/>
      <c r="Y72" s="130"/>
      <c r="Z72" s="152"/>
      <c r="AA72" s="130"/>
      <c r="AB72" s="130"/>
      <c r="AC72" s="130"/>
    </row>
    <row r="73" spans="1:29" ht="12.75" customHeight="1" x14ac:dyDescent="0.2">
      <c r="A73" s="129"/>
      <c r="B73" s="129"/>
      <c r="C73" s="143"/>
      <c r="D73" s="138"/>
      <c r="E73" s="129"/>
      <c r="F73" s="138"/>
      <c r="G73" s="138"/>
      <c r="H73" s="138"/>
      <c r="I73" s="138"/>
      <c r="J73" s="138"/>
      <c r="K73" s="130"/>
      <c r="L73" s="130"/>
      <c r="M73" s="130"/>
      <c r="N73" s="130"/>
      <c r="O73" s="130"/>
      <c r="P73" s="130"/>
      <c r="Q73" s="130"/>
      <c r="R73" s="130"/>
      <c r="S73" s="129"/>
      <c r="T73" s="129"/>
      <c r="U73" s="129"/>
      <c r="V73" s="130"/>
      <c r="W73" s="130"/>
      <c r="X73" s="130"/>
      <c r="Y73" s="130"/>
      <c r="Z73" s="152"/>
      <c r="AA73" s="130"/>
      <c r="AB73" s="130"/>
      <c r="AC73" s="130"/>
    </row>
    <row r="74" spans="1:29" ht="12.75" customHeight="1" x14ac:dyDescent="0.2">
      <c r="A74" s="129"/>
      <c r="B74" s="129"/>
      <c r="C74" s="143"/>
      <c r="D74" s="138"/>
      <c r="E74" s="129"/>
      <c r="F74" s="138"/>
      <c r="G74" s="138"/>
      <c r="H74" s="138"/>
      <c r="I74" s="138"/>
      <c r="J74" s="138"/>
      <c r="K74" s="130"/>
      <c r="L74" s="130"/>
      <c r="M74" s="130"/>
      <c r="N74" s="130"/>
      <c r="O74" s="130"/>
      <c r="P74" s="130"/>
      <c r="Q74" s="130"/>
      <c r="R74" s="130"/>
      <c r="S74" s="129"/>
      <c r="T74" s="129"/>
      <c r="U74" s="129"/>
      <c r="V74" s="130"/>
      <c r="W74" s="130"/>
      <c r="X74" s="130"/>
      <c r="Y74" s="130"/>
      <c r="Z74" s="152"/>
      <c r="AA74" s="130"/>
      <c r="AB74" s="130"/>
      <c r="AC74" s="130"/>
    </row>
    <row r="75" spans="1:29" ht="12.75" customHeight="1" x14ac:dyDescent="0.2">
      <c r="A75" s="129"/>
      <c r="B75" s="129"/>
      <c r="C75" s="143"/>
      <c r="D75" s="138"/>
      <c r="E75" s="129"/>
      <c r="F75" s="138"/>
      <c r="G75" s="138"/>
      <c r="H75" s="138"/>
      <c r="I75" s="138"/>
      <c r="J75" s="138"/>
      <c r="K75" s="130"/>
      <c r="L75" s="130"/>
      <c r="M75" s="130"/>
      <c r="N75" s="130"/>
      <c r="O75" s="130"/>
      <c r="P75" s="130"/>
      <c r="Q75" s="130"/>
      <c r="R75" s="130"/>
      <c r="S75" s="129"/>
      <c r="T75" s="129"/>
      <c r="U75" s="129"/>
      <c r="V75" s="130"/>
      <c r="W75" s="130"/>
      <c r="X75" s="130"/>
      <c r="Y75" s="130"/>
      <c r="Z75" s="152"/>
      <c r="AA75" s="130"/>
      <c r="AB75" s="130"/>
      <c r="AC75" s="130"/>
    </row>
    <row r="76" spans="1:29" ht="12.75" customHeight="1" x14ac:dyDescent="0.2">
      <c r="A76" s="129"/>
      <c r="B76" s="129"/>
      <c r="C76" s="143"/>
      <c r="D76" s="138"/>
      <c r="E76" s="129"/>
      <c r="F76" s="138"/>
      <c r="G76" s="138"/>
      <c r="H76" s="138"/>
      <c r="I76" s="138"/>
      <c r="J76" s="138"/>
      <c r="K76" s="130"/>
      <c r="L76" s="130"/>
      <c r="M76" s="130"/>
      <c r="N76" s="130"/>
      <c r="O76" s="130"/>
      <c r="P76" s="130"/>
      <c r="Q76" s="130"/>
      <c r="R76" s="130"/>
      <c r="S76" s="129"/>
      <c r="T76" s="129"/>
      <c r="U76" s="129"/>
      <c r="V76" s="130"/>
      <c r="W76" s="130"/>
      <c r="X76" s="130"/>
      <c r="Y76" s="130"/>
      <c r="Z76" s="152"/>
      <c r="AA76" s="130"/>
      <c r="AB76" s="130"/>
      <c r="AC76" s="130"/>
    </row>
    <row r="77" spans="1:29" ht="12.75" customHeight="1" x14ac:dyDescent="0.2">
      <c r="A77" s="129"/>
      <c r="B77" s="129"/>
      <c r="C77" s="143"/>
      <c r="D77" s="138"/>
      <c r="E77" s="129"/>
      <c r="F77" s="138"/>
      <c r="G77" s="138"/>
      <c r="H77" s="138"/>
      <c r="I77" s="138"/>
      <c r="J77" s="138"/>
      <c r="K77" s="130"/>
      <c r="L77" s="130"/>
      <c r="M77" s="130"/>
      <c r="N77" s="130"/>
      <c r="O77" s="130"/>
      <c r="P77" s="130"/>
      <c r="Q77" s="130"/>
      <c r="R77" s="130"/>
      <c r="S77" s="129"/>
      <c r="T77" s="129"/>
      <c r="U77" s="129"/>
      <c r="V77" s="130"/>
      <c r="W77" s="130"/>
      <c r="X77" s="130"/>
      <c r="Y77" s="130"/>
      <c r="Z77" s="152"/>
      <c r="AA77" s="130"/>
      <c r="AB77" s="130"/>
      <c r="AC77" s="130"/>
    </row>
    <row r="78" spans="1:29" ht="12.75" customHeight="1" x14ac:dyDescent="0.2">
      <c r="A78" s="129"/>
      <c r="B78" s="129"/>
      <c r="C78" s="143"/>
      <c r="D78" s="138"/>
      <c r="E78" s="129"/>
      <c r="F78" s="138"/>
      <c r="G78" s="138"/>
      <c r="H78" s="138"/>
      <c r="I78" s="138"/>
      <c r="J78" s="138"/>
      <c r="K78" s="130"/>
      <c r="L78" s="130"/>
      <c r="M78" s="130"/>
      <c r="N78" s="130"/>
      <c r="O78" s="130"/>
      <c r="P78" s="130"/>
      <c r="Q78" s="130"/>
      <c r="R78" s="130"/>
      <c r="S78" s="129"/>
      <c r="T78" s="129"/>
      <c r="U78" s="129"/>
      <c r="V78" s="130"/>
      <c r="W78" s="130"/>
      <c r="X78" s="130"/>
      <c r="Y78" s="130"/>
      <c r="Z78" s="152"/>
      <c r="AA78" s="130"/>
      <c r="AB78" s="130"/>
      <c r="AC78" s="130"/>
    </row>
    <row r="79" spans="1:29" ht="12.75" customHeight="1" x14ac:dyDescent="0.2">
      <c r="A79" s="129"/>
      <c r="B79" s="129"/>
      <c r="C79" s="143"/>
      <c r="D79" s="138"/>
      <c r="E79" s="129"/>
      <c r="F79" s="138"/>
      <c r="G79" s="138"/>
      <c r="H79" s="138"/>
      <c r="I79" s="138"/>
      <c r="J79" s="138"/>
      <c r="K79" s="130"/>
      <c r="L79" s="130"/>
      <c r="M79" s="130"/>
      <c r="N79" s="130"/>
      <c r="O79" s="130"/>
      <c r="P79" s="130"/>
      <c r="Q79" s="130"/>
      <c r="R79" s="130"/>
      <c r="S79" s="129"/>
      <c r="T79" s="129"/>
      <c r="U79" s="129"/>
      <c r="V79" s="130"/>
      <c r="W79" s="130"/>
      <c r="X79" s="130"/>
      <c r="Y79" s="130"/>
      <c r="Z79" s="152"/>
      <c r="AA79" s="130"/>
      <c r="AB79" s="130"/>
      <c r="AC79" s="130"/>
    </row>
    <row r="80" spans="1:29" ht="12.75" customHeight="1" x14ac:dyDescent="0.2">
      <c r="A80" s="129"/>
      <c r="B80" s="129"/>
      <c r="C80" s="143"/>
      <c r="D80" s="138"/>
      <c r="E80" s="129"/>
      <c r="F80" s="138"/>
      <c r="G80" s="138"/>
      <c r="H80" s="138"/>
      <c r="I80" s="138"/>
      <c r="J80" s="138"/>
      <c r="K80" s="130"/>
      <c r="L80" s="130"/>
      <c r="M80" s="130"/>
      <c r="N80" s="130"/>
      <c r="O80" s="130"/>
      <c r="P80" s="130"/>
      <c r="Q80" s="130"/>
      <c r="R80" s="130"/>
      <c r="S80" s="129"/>
      <c r="T80" s="129"/>
      <c r="U80" s="129"/>
      <c r="V80" s="130"/>
      <c r="W80" s="130"/>
      <c r="X80" s="130"/>
      <c r="Y80" s="130"/>
      <c r="Z80" s="152"/>
      <c r="AA80" s="130"/>
      <c r="AB80" s="130"/>
      <c r="AC80" s="130"/>
    </row>
    <row r="81" spans="1:29" ht="12.75" customHeight="1" x14ac:dyDescent="0.2">
      <c r="A81" s="129"/>
      <c r="B81" s="129"/>
      <c r="C81" s="143"/>
      <c r="D81" s="138"/>
      <c r="E81" s="129"/>
      <c r="F81" s="138"/>
      <c r="G81" s="138"/>
      <c r="H81" s="138"/>
      <c r="I81" s="138"/>
      <c r="J81" s="138"/>
      <c r="K81" s="130"/>
      <c r="L81" s="130"/>
      <c r="M81" s="130"/>
      <c r="N81" s="130"/>
      <c r="O81" s="130"/>
      <c r="P81" s="130"/>
      <c r="Q81" s="130"/>
      <c r="R81" s="130"/>
      <c r="S81" s="129"/>
      <c r="T81" s="129"/>
      <c r="U81" s="129"/>
      <c r="V81" s="130"/>
      <c r="W81" s="130"/>
      <c r="X81" s="130"/>
      <c r="Y81" s="130"/>
      <c r="Z81" s="152"/>
      <c r="AA81" s="130"/>
      <c r="AB81" s="130"/>
      <c r="AC81" s="130"/>
    </row>
    <row r="82" spans="1:29" ht="12.75" customHeight="1" x14ac:dyDescent="0.2">
      <c r="A82" s="129"/>
      <c r="B82" s="129"/>
      <c r="C82" s="143"/>
      <c r="D82" s="138"/>
      <c r="E82" s="129"/>
      <c r="F82" s="138"/>
      <c r="G82" s="138"/>
      <c r="H82" s="138"/>
      <c r="I82" s="138"/>
      <c r="J82" s="138"/>
      <c r="K82" s="130"/>
      <c r="L82" s="130"/>
      <c r="M82" s="130"/>
      <c r="N82" s="130"/>
      <c r="O82" s="130"/>
      <c r="P82" s="130"/>
      <c r="Q82" s="130"/>
      <c r="R82" s="130"/>
      <c r="S82" s="129"/>
      <c r="T82" s="129"/>
      <c r="U82" s="129"/>
      <c r="V82" s="130"/>
      <c r="W82" s="130"/>
      <c r="X82" s="130"/>
      <c r="Y82" s="130"/>
      <c r="Z82" s="152"/>
      <c r="AA82" s="130"/>
      <c r="AB82" s="130"/>
      <c r="AC82" s="130"/>
    </row>
    <row r="83" spans="1:29" ht="12.75" customHeight="1" x14ac:dyDescent="0.2">
      <c r="A83" s="129"/>
      <c r="B83" s="129"/>
      <c r="C83" s="143"/>
      <c r="D83" s="138"/>
      <c r="E83" s="129"/>
      <c r="F83" s="138"/>
      <c r="G83" s="138"/>
      <c r="H83" s="138"/>
      <c r="I83" s="138"/>
      <c r="J83" s="138"/>
      <c r="K83" s="130"/>
      <c r="L83" s="130"/>
      <c r="M83" s="130"/>
      <c r="N83" s="130"/>
      <c r="O83" s="130"/>
      <c r="P83" s="130"/>
      <c r="Q83" s="130"/>
      <c r="R83" s="130"/>
      <c r="S83" s="129"/>
      <c r="T83" s="129"/>
      <c r="U83" s="129"/>
      <c r="V83" s="130"/>
      <c r="W83" s="130"/>
      <c r="X83" s="130"/>
      <c r="Y83" s="130"/>
      <c r="Z83" s="152"/>
      <c r="AA83" s="130"/>
      <c r="AB83" s="130"/>
      <c r="AC83" s="130"/>
    </row>
    <row r="84" spans="1:29" ht="12.75" customHeight="1" x14ac:dyDescent="0.2">
      <c r="A84" s="129"/>
      <c r="B84" s="129"/>
      <c r="C84" s="143"/>
      <c r="D84" s="138"/>
      <c r="E84" s="129"/>
      <c r="F84" s="138"/>
      <c r="G84" s="138"/>
      <c r="H84" s="138"/>
      <c r="I84" s="138"/>
      <c r="J84" s="138"/>
      <c r="K84" s="130"/>
      <c r="L84" s="130"/>
      <c r="M84" s="130"/>
      <c r="N84" s="130"/>
      <c r="O84" s="130"/>
      <c r="P84" s="130"/>
      <c r="Q84" s="130"/>
      <c r="R84" s="130"/>
      <c r="S84" s="129"/>
      <c r="T84" s="129"/>
      <c r="U84" s="129"/>
      <c r="V84" s="130"/>
      <c r="W84" s="130"/>
      <c r="X84" s="130"/>
      <c r="Y84" s="130"/>
      <c r="Z84" s="152"/>
      <c r="AA84" s="130"/>
      <c r="AB84" s="130"/>
      <c r="AC84" s="130"/>
    </row>
    <row r="85" spans="1:29" ht="12.75" customHeight="1" x14ac:dyDescent="0.2">
      <c r="A85" s="129"/>
      <c r="B85" s="129"/>
      <c r="C85" s="143"/>
      <c r="D85" s="138"/>
      <c r="E85" s="129"/>
      <c r="F85" s="138"/>
      <c r="G85" s="138"/>
      <c r="H85" s="138"/>
      <c r="I85" s="138"/>
      <c r="J85" s="138"/>
      <c r="K85" s="130"/>
      <c r="L85" s="130"/>
      <c r="M85" s="130"/>
      <c r="N85" s="130"/>
      <c r="O85" s="130"/>
      <c r="P85" s="130"/>
      <c r="Q85" s="130"/>
      <c r="R85" s="130"/>
      <c r="S85" s="129"/>
      <c r="T85" s="129"/>
      <c r="U85" s="129"/>
      <c r="V85" s="130"/>
      <c r="W85" s="130"/>
      <c r="X85" s="130"/>
      <c r="Y85" s="130"/>
      <c r="Z85" s="152"/>
      <c r="AA85" s="130"/>
      <c r="AB85" s="130"/>
      <c r="AC85" s="130"/>
    </row>
    <row r="86" spans="1:29" ht="12.75" customHeight="1" x14ac:dyDescent="0.2">
      <c r="A86" s="129"/>
      <c r="B86" s="129"/>
      <c r="C86" s="143"/>
      <c r="D86" s="138"/>
      <c r="E86" s="129"/>
      <c r="F86" s="138"/>
      <c r="G86" s="138"/>
      <c r="H86" s="138"/>
      <c r="I86" s="138"/>
      <c r="J86" s="138"/>
      <c r="K86" s="130"/>
      <c r="L86" s="130"/>
      <c r="M86" s="130"/>
      <c r="N86" s="130"/>
      <c r="O86" s="130"/>
      <c r="P86" s="130"/>
      <c r="Q86" s="130"/>
      <c r="R86" s="130"/>
      <c r="S86" s="129"/>
      <c r="T86" s="129"/>
      <c r="U86" s="129"/>
      <c r="V86" s="130"/>
      <c r="W86" s="130"/>
      <c r="X86" s="130"/>
      <c r="Y86" s="130"/>
      <c r="Z86" s="152"/>
      <c r="AA86" s="130"/>
      <c r="AB86" s="130"/>
      <c r="AC86" s="130"/>
    </row>
    <row r="87" spans="1:29" ht="12.75" customHeight="1" x14ac:dyDescent="0.2">
      <c r="A87" s="129"/>
      <c r="B87" s="129"/>
      <c r="C87" s="143"/>
      <c r="D87" s="138"/>
      <c r="E87" s="129"/>
      <c r="F87" s="138"/>
      <c r="G87" s="138"/>
      <c r="H87" s="138"/>
      <c r="I87" s="138"/>
      <c r="J87" s="138"/>
      <c r="K87" s="130"/>
      <c r="L87" s="130"/>
      <c r="M87" s="130"/>
      <c r="N87" s="130"/>
      <c r="O87" s="130"/>
      <c r="P87" s="130"/>
      <c r="Q87" s="130"/>
      <c r="R87" s="130"/>
      <c r="S87" s="129"/>
      <c r="T87" s="129"/>
      <c r="U87" s="129"/>
      <c r="V87" s="130"/>
      <c r="W87" s="130"/>
      <c r="X87" s="130"/>
      <c r="Y87" s="130"/>
      <c r="Z87" s="152"/>
      <c r="AA87" s="130"/>
      <c r="AB87" s="130"/>
      <c r="AC87" s="130"/>
    </row>
    <row r="88" spans="1:29" ht="12.75" customHeight="1" x14ac:dyDescent="0.2">
      <c r="A88" s="129"/>
      <c r="B88" s="129"/>
      <c r="C88" s="143"/>
      <c r="D88" s="138"/>
      <c r="E88" s="129"/>
      <c r="F88" s="138"/>
      <c r="G88" s="138"/>
      <c r="H88" s="138"/>
      <c r="I88" s="138"/>
      <c r="J88" s="138"/>
      <c r="K88" s="130"/>
      <c r="L88" s="130"/>
      <c r="M88" s="130"/>
      <c r="N88" s="130"/>
      <c r="O88" s="130"/>
      <c r="P88" s="130"/>
      <c r="Q88" s="130"/>
      <c r="R88" s="130"/>
      <c r="S88" s="129"/>
      <c r="T88" s="129"/>
      <c r="U88" s="129"/>
      <c r="V88" s="130"/>
      <c r="W88" s="130"/>
      <c r="X88" s="130"/>
      <c r="Y88" s="130"/>
      <c r="Z88" s="152"/>
      <c r="AA88" s="130"/>
      <c r="AB88" s="130"/>
      <c r="AC88" s="130"/>
    </row>
    <row r="89" spans="1:29" ht="12.75" customHeight="1" x14ac:dyDescent="0.2">
      <c r="A89" s="129"/>
      <c r="B89" s="129"/>
      <c r="C89" s="143"/>
      <c r="D89" s="138"/>
      <c r="E89" s="129"/>
      <c r="F89" s="138"/>
      <c r="G89" s="138"/>
      <c r="H89" s="138"/>
      <c r="I89" s="138"/>
      <c r="J89" s="138"/>
      <c r="K89" s="130"/>
      <c r="L89" s="130"/>
      <c r="M89" s="130"/>
      <c r="N89" s="130"/>
      <c r="O89" s="130"/>
      <c r="P89" s="130"/>
      <c r="Q89" s="130"/>
      <c r="R89" s="130"/>
      <c r="S89" s="129"/>
      <c r="T89" s="129"/>
      <c r="U89" s="129"/>
      <c r="V89" s="130"/>
      <c r="W89" s="130"/>
      <c r="X89" s="130"/>
      <c r="Y89" s="130"/>
      <c r="Z89" s="152"/>
      <c r="AA89" s="130"/>
      <c r="AB89" s="130"/>
      <c r="AC89" s="130"/>
    </row>
    <row r="90" spans="1:29" ht="12.75" customHeight="1" x14ac:dyDescent="0.2">
      <c r="A90" s="129"/>
      <c r="B90" s="129"/>
      <c r="C90" s="143"/>
      <c r="D90" s="138"/>
      <c r="E90" s="129"/>
      <c r="F90" s="138"/>
      <c r="G90" s="138"/>
      <c r="H90" s="138"/>
      <c r="I90" s="138"/>
      <c r="J90" s="138"/>
      <c r="K90" s="130"/>
      <c r="L90" s="130"/>
      <c r="M90" s="130"/>
      <c r="N90" s="130"/>
      <c r="O90" s="130"/>
      <c r="P90" s="130"/>
      <c r="Q90" s="130"/>
      <c r="R90" s="130"/>
      <c r="S90" s="129"/>
      <c r="T90" s="129"/>
      <c r="U90" s="129"/>
      <c r="V90" s="130"/>
      <c r="W90" s="130"/>
      <c r="X90" s="130"/>
      <c r="Y90" s="130"/>
      <c r="Z90" s="152"/>
      <c r="AA90" s="130"/>
      <c r="AB90" s="130"/>
      <c r="AC90" s="130"/>
    </row>
    <row r="91" spans="1:29" ht="12.75" customHeight="1" x14ac:dyDescent="0.2">
      <c r="A91" s="129"/>
      <c r="B91" s="129"/>
      <c r="C91" s="143"/>
      <c r="D91" s="138"/>
      <c r="E91" s="129"/>
      <c r="F91" s="138"/>
      <c r="G91" s="138"/>
      <c r="H91" s="138"/>
      <c r="I91" s="138"/>
      <c r="J91" s="138"/>
      <c r="K91" s="130"/>
      <c r="L91" s="130"/>
      <c r="M91" s="130"/>
      <c r="N91" s="130"/>
      <c r="O91" s="130"/>
      <c r="P91" s="130"/>
      <c r="Q91" s="130"/>
      <c r="R91" s="130"/>
      <c r="S91" s="129"/>
      <c r="T91" s="129"/>
      <c r="U91" s="129"/>
      <c r="V91" s="130"/>
      <c r="W91" s="130"/>
      <c r="X91" s="130"/>
      <c r="Y91" s="130"/>
      <c r="Z91" s="152"/>
      <c r="AA91" s="130"/>
      <c r="AB91" s="130"/>
      <c r="AC91" s="130"/>
    </row>
    <row r="92" spans="1:29" ht="12.75" customHeight="1" x14ac:dyDescent="0.2">
      <c r="A92" s="129"/>
      <c r="B92" s="129"/>
      <c r="C92" s="143"/>
      <c r="D92" s="138"/>
      <c r="E92" s="129"/>
      <c r="F92" s="138"/>
      <c r="G92" s="138"/>
      <c r="H92" s="138"/>
      <c r="I92" s="138"/>
      <c r="J92" s="138"/>
      <c r="K92" s="130"/>
      <c r="L92" s="130"/>
      <c r="M92" s="130"/>
      <c r="N92" s="130"/>
      <c r="O92" s="130"/>
      <c r="P92" s="130"/>
      <c r="Q92" s="130"/>
      <c r="R92" s="130"/>
      <c r="S92" s="129"/>
      <c r="T92" s="129"/>
      <c r="U92" s="129"/>
      <c r="V92" s="130"/>
      <c r="W92" s="130"/>
      <c r="X92" s="130"/>
      <c r="Y92" s="130"/>
      <c r="Z92" s="152"/>
      <c r="AA92" s="130"/>
      <c r="AB92" s="130"/>
      <c r="AC92" s="130"/>
    </row>
    <row r="93" spans="1:29" ht="12.75" customHeight="1" x14ac:dyDescent="0.2">
      <c r="A93" s="129"/>
      <c r="B93" s="129"/>
      <c r="C93" s="143"/>
      <c r="D93" s="138"/>
      <c r="E93" s="129"/>
      <c r="F93" s="138"/>
      <c r="G93" s="138"/>
      <c r="H93" s="138"/>
      <c r="I93" s="138"/>
      <c r="J93" s="138"/>
      <c r="K93" s="130"/>
      <c r="L93" s="130"/>
      <c r="M93" s="130"/>
      <c r="N93" s="130"/>
      <c r="O93" s="130"/>
      <c r="P93" s="130"/>
      <c r="Q93" s="130"/>
      <c r="R93" s="130"/>
      <c r="S93" s="129"/>
      <c r="T93" s="129"/>
      <c r="U93" s="129"/>
      <c r="V93" s="130"/>
      <c r="W93" s="130"/>
      <c r="X93" s="130"/>
      <c r="Y93" s="130"/>
      <c r="Z93" s="152"/>
      <c r="AA93" s="130"/>
      <c r="AB93" s="130"/>
      <c r="AC93" s="130"/>
    </row>
    <row r="94" spans="1:29" ht="12.75" customHeight="1" x14ac:dyDescent="0.2">
      <c r="A94" s="129"/>
      <c r="B94" s="129"/>
      <c r="C94" s="143"/>
      <c r="D94" s="138"/>
      <c r="E94" s="129"/>
      <c r="F94" s="138"/>
      <c r="G94" s="138"/>
      <c r="H94" s="138"/>
      <c r="I94" s="138"/>
      <c r="J94" s="138"/>
      <c r="K94" s="130"/>
      <c r="L94" s="130"/>
      <c r="M94" s="130"/>
      <c r="N94" s="130"/>
      <c r="O94" s="130"/>
      <c r="P94" s="130"/>
      <c r="Q94" s="130"/>
      <c r="R94" s="130"/>
      <c r="S94" s="129"/>
      <c r="T94" s="129"/>
      <c r="U94" s="129"/>
      <c r="V94" s="130"/>
      <c r="W94" s="130"/>
      <c r="X94" s="130"/>
      <c r="Y94" s="130"/>
      <c r="Z94" s="152"/>
      <c r="AA94" s="130"/>
      <c r="AB94" s="130"/>
      <c r="AC94" s="130"/>
    </row>
    <row r="95" spans="1:29" ht="12.75" customHeight="1" x14ac:dyDescent="0.2">
      <c r="A95" s="129"/>
      <c r="B95" s="129"/>
      <c r="C95" s="143"/>
      <c r="D95" s="138"/>
      <c r="E95" s="129"/>
      <c r="F95" s="138"/>
      <c r="G95" s="138"/>
      <c r="H95" s="138"/>
      <c r="I95" s="138"/>
      <c r="J95" s="138"/>
      <c r="K95" s="130"/>
      <c r="L95" s="130"/>
      <c r="M95" s="130"/>
      <c r="N95" s="130"/>
      <c r="O95" s="130"/>
      <c r="P95" s="130"/>
      <c r="Q95" s="130"/>
      <c r="R95" s="130"/>
      <c r="S95" s="129"/>
      <c r="T95" s="129"/>
      <c r="U95" s="129"/>
      <c r="V95" s="130"/>
      <c r="W95" s="130"/>
      <c r="X95" s="130"/>
      <c r="Y95" s="130"/>
      <c r="Z95" s="152"/>
      <c r="AA95" s="130"/>
      <c r="AB95" s="130"/>
      <c r="AC95" s="130"/>
    </row>
    <row r="96" spans="1:29" ht="12.75" customHeight="1" x14ac:dyDescent="0.2">
      <c r="A96" s="129"/>
      <c r="B96" s="129"/>
      <c r="C96" s="143"/>
      <c r="D96" s="138"/>
      <c r="E96" s="129"/>
      <c r="F96" s="138"/>
      <c r="G96" s="138"/>
      <c r="H96" s="138"/>
      <c r="I96" s="138"/>
      <c r="J96" s="138"/>
      <c r="K96" s="130"/>
      <c r="L96" s="130"/>
      <c r="M96" s="130"/>
      <c r="N96" s="130"/>
      <c r="O96" s="130"/>
      <c r="P96" s="130"/>
      <c r="Q96" s="130"/>
      <c r="R96" s="130"/>
      <c r="S96" s="129"/>
      <c r="T96" s="129"/>
      <c r="U96" s="129"/>
      <c r="V96" s="130"/>
      <c r="W96" s="130"/>
      <c r="X96" s="130"/>
      <c r="Y96" s="130"/>
      <c r="Z96" s="152"/>
      <c r="AA96" s="130"/>
      <c r="AB96" s="130"/>
      <c r="AC96" s="130"/>
    </row>
    <row r="97" spans="1:29" ht="12.75" customHeight="1" x14ac:dyDescent="0.2">
      <c r="A97" s="129"/>
      <c r="B97" s="129"/>
      <c r="C97" s="143"/>
      <c r="D97" s="138"/>
      <c r="E97" s="129"/>
      <c r="F97" s="138"/>
      <c r="G97" s="138"/>
      <c r="H97" s="138"/>
      <c r="I97" s="138"/>
      <c r="J97" s="138"/>
      <c r="K97" s="130"/>
      <c r="L97" s="130"/>
      <c r="M97" s="130"/>
      <c r="N97" s="130"/>
      <c r="O97" s="130"/>
      <c r="P97" s="130"/>
      <c r="Q97" s="130"/>
      <c r="R97" s="130"/>
      <c r="S97" s="129"/>
      <c r="T97" s="129"/>
      <c r="U97" s="129"/>
      <c r="V97" s="130"/>
      <c r="W97" s="130"/>
      <c r="X97" s="130"/>
      <c r="Y97" s="130"/>
      <c r="Z97" s="152"/>
      <c r="AA97" s="130"/>
      <c r="AB97" s="130"/>
      <c r="AC97" s="130"/>
    </row>
    <row r="98" spans="1:29" ht="12.75" customHeight="1" x14ac:dyDescent="0.2">
      <c r="A98" s="129"/>
      <c r="B98" s="129"/>
      <c r="C98" s="143"/>
      <c r="D98" s="138"/>
      <c r="E98" s="129"/>
      <c r="F98" s="138"/>
      <c r="G98" s="138"/>
      <c r="H98" s="138"/>
      <c r="I98" s="138"/>
      <c r="J98" s="138"/>
      <c r="K98" s="130"/>
      <c r="L98" s="130"/>
      <c r="M98" s="130"/>
      <c r="N98" s="130"/>
      <c r="O98" s="130"/>
      <c r="P98" s="130"/>
      <c r="Q98" s="130"/>
      <c r="R98" s="130"/>
      <c r="S98" s="129"/>
      <c r="T98" s="129"/>
      <c r="U98" s="129"/>
      <c r="V98" s="130"/>
      <c r="W98" s="130"/>
      <c r="X98" s="130"/>
      <c r="Y98" s="130"/>
      <c r="Z98" s="152"/>
      <c r="AA98" s="130"/>
      <c r="AB98" s="130"/>
      <c r="AC98" s="130"/>
    </row>
    <row r="99" spans="1:29" ht="12.75" customHeight="1" x14ac:dyDescent="0.2">
      <c r="A99" s="129"/>
      <c r="B99" s="129"/>
      <c r="C99" s="143"/>
      <c r="D99" s="138"/>
      <c r="E99" s="129"/>
      <c r="F99" s="138"/>
      <c r="G99" s="138"/>
      <c r="H99" s="138"/>
      <c r="I99" s="138"/>
      <c r="J99" s="138"/>
      <c r="K99" s="130"/>
      <c r="L99" s="130"/>
      <c r="M99" s="130"/>
      <c r="N99" s="130"/>
      <c r="O99" s="130"/>
      <c r="P99" s="130"/>
      <c r="Q99" s="130"/>
      <c r="R99" s="130"/>
      <c r="S99" s="129"/>
      <c r="T99" s="129"/>
      <c r="U99" s="129"/>
      <c r="V99" s="130"/>
      <c r="W99" s="130"/>
      <c r="X99" s="130"/>
      <c r="Y99" s="130"/>
      <c r="Z99" s="152"/>
      <c r="AA99" s="130"/>
      <c r="AB99" s="130"/>
      <c r="AC99" s="130"/>
    </row>
    <row r="100" spans="1:29" ht="12.75" customHeight="1" x14ac:dyDescent="0.2">
      <c r="A100" s="129"/>
      <c r="B100" s="129"/>
      <c r="C100" s="143"/>
      <c r="D100" s="138"/>
      <c r="E100" s="129"/>
      <c r="F100" s="138"/>
      <c r="G100" s="138"/>
      <c r="H100" s="138"/>
      <c r="I100" s="138"/>
      <c r="J100" s="138"/>
      <c r="K100" s="130"/>
      <c r="L100" s="130"/>
      <c r="M100" s="130"/>
      <c r="N100" s="130"/>
      <c r="O100" s="130"/>
      <c r="P100" s="130"/>
      <c r="Q100" s="130"/>
      <c r="R100" s="130"/>
      <c r="S100" s="129"/>
      <c r="T100" s="129"/>
      <c r="U100" s="129"/>
      <c r="V100" s="130"/>
      <c r="W100" s="130"/>
      <c r="X100" s="130"/>
      <c r="Y100" s="130"/>
      <c r="Z100" s="152"/>
      <c r="AA100" s="130"/>
      <c r="AB100" s="130"/>
      <c r="AC100" s="130"/>
    </row>
    <row r="101" spans="1:29" ht="12.75" customHeight="1" x14ac:dyDescent="0.2">
      <c r="A101" s="129"/>
      <c r="B101" s="129"/>
      <c r="C101" s="143"/>
      <c r="D101" s="138"/>
      <c r="E101" s="129"/>
      <c r="F101" s="138"/>
      <c r="G101" s="138"/>
      <c r="H101" s="138"/>
      <c r="I101" s="138"/>
      <c r="J101" s="138"/>
      <c r="K101" s="130"/>
      <c r="L101" s="130"/>
      <c r="M101" s="130"/>
      <c r="N101" s="130"/>
      <c r="O101" s="130"/>
      <c r="P101" s="130"/>
      <c r="Q101" s="130"/>
      <c r="R101" s="130"/>
      <c r="S101" s="129"/>
      <c r="T101" s="129"/>
      <c r="U101" s="129"/>
      <c r="V101" s="130"/>
      <c r="W101" s="130"/>
      <c r="X101" s="130"/>
      <c r="Y101" s="130"/>
      <c r="Z101" s="152"/>
      <c r="AA101" s="130"/>
      <c r="AB101" s="130"/>
      <c r="AC101" s="130"/>
    </row>
    <row r="102" spans="1:29" ht="12.75" customHeight="1" x14ac:dyDescent="0.2">
      <c r="A102" s="129"/>
      <c r="B102" s="129"/>
      <c r="C102" s="143"/>
      <c r="D102" s="138"/>
      <c r="E102" s="129"/>
      <c r="F102" s="138"/>
      <c r="G102" s="138"/>
      <c r="H102" s="138"/>
      <c r="I102" s="138"/>
      <c r="J102" s="138"/>
      <c r="K102" s="130"/>
      <c r="L102" s="130"/>
      <c r="M102" s="130"/>
      <c r="N102" s="130"/>
      <c r="O102" s="130"/>
      <c r="P102" s="130"/>
      <c r="Q102" s="130"/>
      <c r="R102" s="130"/>
      <c r="S102" s="129"/>
      <c r="T102" s="129"/>
      <c r="U102" s="129"/>
      <c r="V102" s="130"/>
      <c r="W102" s="130"/>
      <c r="X102" s="130"/>
      <c r="Y102" s="130"/>
      <c r="Z102" s="152"/>
      <c r="AA102" s="130"/>
      <c r="AB102" s="130"/>
      <c r="AC102" s="130"/>
    </row>
    <row r="103" spans="1:29" ht="12.75" customHeight="1" x14ac:dyDescent="0.2">
      <c r="A103" s="129"/>
      <c r="B103" s="129"/>
      <c r="C103" s="143"/>
      <c r="D103" s="138"/>
      <c r="E103" s="129"/>
      <c r="F103" s="138"/>
      <c r="G103" s="138"/>
      <c r="H103" s="138"/>
      <c r="I103" s="138"/>
      <c r="J103" s="138"/>
      <c r="K103" s="130"/>
      <c r="L103" s="130"/>
      <c r="M103" s="130"/>
      <c r="N103" s="130"/>
      <c r="O103" s="130"/>
      <c r="P103" s="130"/>
      <c r="Q103" s="130"/>
      <c r="R103" s="130"/>
      <c r="S103" s="129"/>
      <c r="T103" s="129"/>
      <c r="U103" s="129"/>
      <c r="V103" s="130"/>
      <c r="W103" s="130"/>
      <c r="X103" s="130"/>
      <c r="Y103" s="130"/>
      <c r="Z103" s="152"/>
      <c r="AA103" s="130"/>
      <c r="AB103" s="130"/>
      <c r="AC103" s="130"/>
    </row>
    <row r="104" spans="1:29" ht="12.75" customHeight="1" x14ac:dyDescent="0.2">
      <c r="A104" s="129"/>
      <c r="B104" s="129"/>
      <c r="C104" s="143"/>
      <c r="D104" s="138"/>
      <c r="E104" s="129"/>
      <c r="F104" s="138"/>
      <c r="G104" s="138"/>
      <c r="H104" s="138"/>
      <c r="I104" s="138"/>
      <c r="J104" s="138"/>
      <c r="K104" s="130"/>
      <c r="L104" s="130"/>
      <c r="M104" s="130"/>
      <c r="N104" s="130"/>
      <c r="O104" s="130"/>
      <c r="P104" s="130"/>
      <c r="Q104" s="130"/>
      <c r="R104" s="130"/>
      <c r="S104" s="129"/>
      <c r="T104" s="129"/>
      <c r="U104" s="129"/>
      <c r="V104" s="130"/>
      <c r="W104" s="130"/>
      <c r="X104" s="130"/>
      <c r="Y104" s="130"/>
      <c r="Z104" s="152"/>
      <c r="AA104" s="130"/>
      <c r="AB104" s="130"/>
      <c r="AC104" s="130"/>
    </row>
    <row r="105" spans="1:29" ht="12.75" customHeight="1" x14ac:dyDescent="0.2">
      <c r="A105" s="129"/>
      <c r="B105" s="129"/>
      <c r="C105" s="143"/>
      <c r="D105" s="138"/>
      <c r="E105" s="129"/>
      <c r="F105" s="138"/>
      <c r="G105" s="138"/>
      <c r="H105" s="138"/>
      <c r="I105" s="138"/>
      <c r="J105" s="138"/>
      <c r="K105" s="130"/>
      <c r="L105" s="130"/>
      <c r="M105" s="130"/>
      <c r="N105" s="130"/>
      <c r="O105" s="130"/>
      <c r="P105" s="130"/>
      <c r="Q105" s="130"/>
      <c r="R105" s="130"/>
      <c r="S105" s="129"/>
      <c r="T105" s="129"/>
      <c r="U105" s="129"/>
      <c r="V105" s="130"/>
      <c r="W105" s="130"/>
      <c r="X105" s="130"/>
      <c r="Y105" s="130"/>
      <c r="Z105" s="152"/>
      <c r="AA105" s="130"/>
      <c r="AB105" s="130"/>
      <c r="AC105" s="130"/>
    </row>
    <row r="106" spans="1:29" ht="12.75" customHeight="1" x14ac:dyDescent="0.2">
      <c r="A106" s="129"/>
      <c r="B106" s="129"/>
      <c r="C106" s="143"/>
      <c r="D106" s="138"/>
      <c r="E106" s="129"/>
      <c r="F106" s="138"/>
      <c r="G106" s="138"/>
      <c r="H106" s="138"/>
      <c r="I106" s="138"/>
      <c r="J106" s="138"/>
      <c r="K106" s="130"/>
      <c r="L106" s="130"/>
      <c r="M106" s="130"/>
      <c r="N106" s="130"/>
      <c r="O106" s="130"/>
      <c r="P106" s="130"/>
      <c r="Q106" s="130"/>
      <c r="R106" s="130"/>
      <c r="S106" s="129"/>
      <c r="T106" s="129"/>
      <c r="U106" s="129"/>
      <c r="V106" s="130"/>
      <c r="W106" s="130"/>
      <c r="X106" s="130"/>
      <c r="Y106" s="130"/>
      <c r="Z106" s="152"/>
      <c r="AA106" s="130"/>
      <c r="AB106" s="130"/>
      <c r="AC106" s="130"/>
    </row>
    <row r="107" spans="1:29" ht="12.75" customHeight="1" x14ac:dyDescent="0.2">
      <c r="A107" s="129"/>
      <c r="B107" s="129"/>
      <c r="C107" s="143"/>
      <c r="D107" s="138"/>
      <c r="E107" s="129"/>
      <c r="F107" s="138"/>
      <c r="G107" s="138"/>
      <c r="H107" s="138"/>
      <c r="I107" s="138"/>
      <c r="J107" s="138"/>
      <c r="K107" s="130"/>
      <c r="L107" s="130"/>
      <c r="M107" s="130"/>
      <c r="N107" s="130"/>
      <c r="O107" s="130"/>
      <c r="P107" s="130"/>
      <c r="Q107" s="130"/>
      <c r="R107" s="130"/>
      <c r="S107" s="129"/>
      <c r="T107" s="129"/>
      <c r="U107" s="129"/>
      <c r="V107" s="130"/>
      <c r="W107" s="130"/>
      <c r="X107" s="130"/>
      <c r="Y107" s="130"/>
      <c r="Z107" s="152"/>
      <c r="AA107" s="130"/>
      <c r="AB107" s="130"/>
      <c r="AC107" s="130"/>
    </row>
    <row r="108" spans="1:29" ht="12.75" customHeight="1" x14ac:dyDescent="0.2">
      <c r="A108" s="129"/>
      <c r="B108" s="129"/>
      <c r="C108" s="143"/>
      <c r="D108" s="138"/>
      <c r="E108" s="129"/>
      <c r="F108" s="138"/>
      <c r="G108" s="138"/>
      <c r="H108" s="138"/>
      <c r="I108" s="138"/>
      <c r="J108" s="138"/>
      <c r="K108" s="130"/>
      <c r="L108" s="130"/>
      <c r="M108" s="130"/>
      <c r="N108" s="130"/>
      <c r="O108" s="130"/>
      <c r="P108" s="130"/>
      <c r="Q108" s="130"/>
      <c r="R108" s="130"/>
      <c r="S108" s="129"/>
      <c r="T108" s="129"/>
      <c r="U108" s="129"/>
      <c r="V108" s="130"/>
      <c r="W108" s="130"/>
      <c r="X108" s="130"/>
      <c r="Y108" s="130"/>
      <c r="Z108" s="152"/>
      <c r="AA108" s="130"/>
      <c r="AB108" s="130"/>
      <c r="AC108" s="130"/>
    </row>
    <row r="109" spans="1:29" ht="12.75" customHeight="1" x14ac:dyDescent="0.2">
      <c r="A109" s="129"/>
      <c r="B109" s="129"/>
      <c r="C109" s="143"/>
      <c r="D109" s="138"/>
      <c r="E109" s="129"/>
      <c r="F109" s="138"/>
      <c r="G109" s="138"/>
      <c r="H109" s="138"/>
      <c r="I109" s="138"/>
      <c r="J109" s="138"/>
      <c r="K109" s="130"/>
      <c r="L109" s="130"/>
      <c r="M109" s="130"/>
      <c r="N109" s="130"/>
      <c r="O109" s="130"/>
      <c r="P109" s="130"/>
      <c r="Q109" s="130"/>
      <c r="R109" s="130"/>
      <c r="S109" s="129"/>
      <c r="T109" s="129"/>
      <c r="U109" s="129"/>
      <c r="V109" s="130"/>
      <c r="W109" s="130"/>
      <c r="X109" s="130"/>
      <c r="Y109" s="130"/>
      <c r="Z109" s="152"/>
      <c r="AA109" s="130"/>
      <c r="AB109" s="130"/>
      <c r="AC109" s="130"/>
    </row>
    <row r="110" spans="1:29" ht="12.75" customHeight="1" x14ac:dyDescent="0.2">
      <c r="A110" s="129"/>
      <c r="B110" s="129"/>
      <c r="C110" s="143"/>
      <c r="D110" s="138"/>
      <c r="E110" s="129"/>
      <c r="F110" s="138"/>
      <c r="G110" s="138"/>
      <c r="H110" s="138"/>
      <c r="I110" s="138"/>
      <c r="J110" s="138"/>
      <c r="K110" s="130"/>
      <c r="L110" s="130"/>
      <c r="M110" s="130"/>
      <c r="N110" s="130"/>
      <c r="O110" s="130"/>
      <c r="P110" s="130"/>
      <c r="Q110" s="130"/>
      <c r="R110" s="130"/>
      <c r="S110" s="129"/>
      <c r="T110" s="129"/>
      <c r="U110" s="129"/>
      <c r="V110" s="130"/>
      <c r="W110" s="130"/>
      <c r="X110" s="130"/>
      <c r="Y110" s="130"/>
      <c r="Z110" s="152"/>
      <c r="AA110" s="130"/>
      <c r="AB110" s="130"/>
      <c r="AC110" s="130"/>
    </row>
    <row r="111" spans="1:29" ht="12.75" customHeight="1" x14ac:dyDescent="0.2">
      <c r="A111" s="129"/>
      <c r="B111" s="129"/>
      <c r="C111" s="143"/>
      <c r="D111" s="138"/>
      <c r="E111" s="129"/>
      <c r="F111" s="138"/>
      <c r="G111" s="138"/>
      <c r="H111" s="138"/>
      <c r="I111" s="138"/>
      <c r="J111" s="138"/>
      <c r="K111" s="130"/>
      <c r="L111" s="130"/>
      <c r="M111" s="130"/>
      <c r="N111" s="130"/>
      <c r="O111" s="130"/>
      <c r="P111" s="130"/>
      <c r="Q111" s="130"/>
      <c r="R111" s="130"/>
      <c r="S111" s="129"/>
      <c r="T111" s="129"/>
      <c r="U111" s="129"/>
      <c r="V111" s="130"/>
      <c r="W111" s="130"/>
      <c r="X111" s="130"/>
      <c r="Y111" s="130"/>
      <c r="Z111" s="152"/>
      <c r="AA111" s="130"/>
      <c r="AB111" s="130"/>
      <c r="AC111" s="130"/>
    </row>
    <row r="112" spans="1:29" ht="12.75" customHeight="1" x14ac:dyDescent="0.2">
      <c r="A112" s="129"/>
      <c r="B112" s="129"/>
      <c r="C112" s="143"/>
      <c r="D112" s="138"/>
      <c r="E112" s="129"/>
      <c r="F112" s="138"/>
      <c r="G112" s="138"/>
      <c r="H112" s="138"/>
      <c r="I112" s="138"/>
      <c r="J112" s="138"/>
      <c r="K112" s="130"/>
      <c r="L112" s="130"/>
      <c r="M112" s="130"/>
      <c r="N112" s="130"/>
      <c r="O112" s="130"/>
      <c r="P112" s="130"/>
      <c r="Q112" s="130"/>
      <c r="R112" s="130"/>
      <c r="S112" s="129"/>
      <c r="T112" s="129"/>
      <c r="U112" s="129"/>
      <c r="V112" s="130"/>
      <c r="W112" s="130"/>
      <c r="X112" s="130"/>
      <c r="Y112" s="130"/>
      <c r="Z112" s="152"/>
      <c r="AA112" s="130"/>
      <c r="AB112" s="130"/>
      <c r="AC112" s="130"/>
    </row>
    <row r="113" spans="1:29" ht="12.75" customHeight="1" x14ac:dyDescent="0.2">
      <c r="A113" s="129"/>
      <c r="B113" s="129"/>
      <c r="C113" s="143"/>
      <c r="D113" s="138"/>
      <c r="E113" s="129"/>
      <c r="F113" s="138"/>
      <c r="G113" s="138"/>
      <c r="H113" s="138"/>
      <c r="I113" s="138"/>
      <c r="J113" s="138"/>
      <c r="K113" s="130"/>
      <c r="L113" s="130"/>
      <c r="M113" s="130"/>
      <c r="N113" s="130"/>
      <c r="O113" s="130"/>
      <c r="P113" s="130"/>
      <c r="Q113" s="130"/>
      <c r="R113" s="130"/>
      <c r="S113" s="129"/>
      <c r="T113" s="129"/>
      <c r="U113" s="129"/>
      <c r="V113" s="130"/>
      <c r="W113" s="130"/>
      <c r="X113" s="130"/>
      <c r="Y113" s="130"/>
      <c r="Z113" s="152"/>
      <c r="AA113" s="130"/>
      <c r="AB113" s="130"/>
      <c r="AC113" s="130"/>
    </row>
    <row r="114" spans="1:29" ht="12.75" customHeight="1" x14ac:dyDescent="0.2">
      <c r="A114" s="129"/>
      <c r="B114" s="129"/>
      <c r="C114" s="143"/>
      <c r="D114" s="138"/>
      <c r="E114" s="129"/>
      <c r="F114" s="138"/>
      <c r="G114" s="138"/>
      <c r="H114" s="138"/>
      <c r="I114" s="138"/>
      <c r="J114" s="138"/>
      <c r="K114" s="130"/>
      <c r="L114" s="130"/>
      <c r="M114" s="130"/>
      <c r="N114" s="130"/>
      <c r="O114" s="130"/>
      <c r="P114" s="130"/>
      <c r="Q114" s="130"/>
      <c r="R114" s="130"/>
      <c r="S114" s="129"/>
      <c r="T114" s="129"/>
      <c r="U114" s="129"/>
      <c r="V114" s="130"/>
      <c r="W114" s="130"/>
      <c r="X114" s="130"/>
      <c r="Y114" s="130"/>
      <c r="Z114" s="152"/>
      <c r="AA114" s="130"/>
      <c r="AB114" s="130"/>
      <c r="AC114" s="130"/>
    </row>
    <row r="115" spans="1:29" ht="12.75" customHeight="1" x14ac:dyDescent="0.2">
      <c r="A115" s="129"/>
      <c r="B115" s="129"/>
      <c r="C115" s="143"/>
      <c r="D115" s="138"/>
      <c r="E115" s="129"/>
      <c r="F115" s="138"/>
      <c r="G115" s="138"/>
      <c r="H115" s="138"/>
      <c r="I115" s="138"/>
      <c r="J115" s="138"/>
      <c r="K115" s="130"/>
      <c r="L115" s="130"/>
      <c r="M115" s="130"/>
      <c r="N115" s="130"/>
      <c r="O115" s="130"/>
      <c r="P115" s="130"/>
      <c r="Q115" s="130"/>
      <c r="R115" s="130"/>
      <c r="S115" s="129"/>
      <c r="T115" s="129"/>
      <c r="U115" s="129"/>
      <c r="V115" s="130"/>
      <c r="W115" s="130"/>
      <c r="X115" s="130"/>
      <c r="Y115" s="130"/>
      <c r="Z115" s="152"/>
      <c r="AA115" s="130"/>
      <c r="AB115" s="130"/>
      <c r="AC115" s="130"/>
    </row>
    <row r="116" spans="1:29" ht="12.75" customHeight="1" x14ac:dyDescent="0.2">
      <c r="A116" s="129"/>
      <c r="B116" s="129"/>
      <c r="C116" s="143"/>
      <c r="D116" s="138"/>
      <c r="E116" s="129"/>
      <c r="F116" s="138"/>
      <c r="G116" s="138"/>
      <c r="H116" s="138"/>
      <c r="I116" s="138"/>
      <c r="J116" s="138"/>
      <c r="K116" s="130"/>
      <c r="L116" s="130"/>
      <c r="M116" s="130"/>
      <c r="N116" s="130"/>
      <c r="O116" s="130"/>
      <c r="P116" s="130"/>
      <c r="Q116" s="130"/>
      <c r="R116" s="130"/>
      <c r="S116" s="129"/>
      <c r="T116" s="129"/>
      <c r="U116" s="129"/>
      <c r="V116" s="130"/>
      <c r="W116" s="130"/>
      <c r="X116" s="130"/>
      <c r="Y116" s="130"/>
      <c r="Z116" s="152"/>
      <c r="AA116" s="130"/>
      <c r="AB116" s="130"/>
      <c r="AC116" s="130"/>
    </row>
    <row r="117" spans="1:29" ht="12.75" customHeight="1" x14ac:dyDescent="0.2">
      <c r="A117" s="129"/>
      <c r="B117" s="129"/>
      <c r="C117" s="143"/>
      <c r="D117" s="138"/>
      <c r="E117" s="129"/>
      <c r="F117" s="138"/>
      <c r="G117" s="138"/>
      <c r="H117" s="138"/>
      <c r="I117" s="138"/>
      <c r="J117" s="138"/>
      <c r="K117" s="130"/>
      <c r="L117" s="130"/>
      <c r="M117" s="130"/>
      <c r="N117" s="130"/>
      <c r="O117" s="130"/>
      <c r="P117" s="130"/>
      <c r="Q117" s="130"/>
      <c r="R117" s="130"/>
      <c r="S117" s="129"/>
      <c r="T117" s="129"/>
      <c r="U117" s="129"/>
      <c r="V117" s="130"/>
      <c r="W117" s="130"/>
      <c r="X117" s="130"/>
      <c r="Y117" s="130"/>
      <c r="Z117" s="152"/>
      <c r="AA117" s="130"/>
      <c r="AB117" s="130"/>
      <c r="AC117" s="130"/>
    </row>
    <row r="118" spans="1:29" ht="12.75" customHeight="1" x14ac:dyDescent="0.2">
      <c r="A118" s="129"/>
      <c r="B118" s="129"/>
      <c r="C118" s="143"/>
      <c r="D118" s="138"/>
      <c r="E118" s="129"/>
      <c r="F118" s="138"/>
      <c r="G118" s="138"/>
      <c r="H118" s="138"/>
      <c r="I118" s="138"/>
      <c r="J118" s="138"/>
      <c r="K118" s="130"/>
      <c r="L118" s="130"/>
      <c r="M118" s="130"/>
      <c r="N118" s="130"/>
      <c r="O118" s="130"/>
      <c r="P118" s="130"/>
      <c r="Q118" s="130"/>
      <c r="R118" s="130"/>
      <c r="S118" s="129"/>
      <c r="T118" s="129"/>
      <c r="U118" s="129"/>
      <c r="V118" s="130"/>
      <c r="W118" s="130"/>
      <c r="X118" s="130"/>
      <c r="Y118" s="130"/>
      <c r="Z118" s="152"/>
      <c r="AA118" s="130"/>
      <c r="AB118" s="130"/>
      <c r="AC118" s="130"/>
    </row>
    <row r="119" spans="1:29" ht="12.75" customHeight="1" x14ac:dyDescent="0.2">
      <c r="A119" s="129"/>
      <c r="B119" s="129"/>
      <c r="C119" s="143"/>
      <c r="D119" s="138"/>
      <c r="E119" s="129"/>
      <c r="F119" s="138"/>
      <c r="G119" s="138"/>
      <c r="H119" s="138"/>
      <c r="I119" s="138"/>
      <c r="J119" s="138"/>
      <c r="K119" s="130"/>
      <c r="L119" s="130"/>
      <c r="M119" s="130"/>
      <c r="N119" s="130"/>
      <c r="O119" s="130"/>
      <c r="P119" s="130"/>
      <c r="Q119" s="130"/>
      <c r="R119" s="130"/>
      <c r="S119" s="129"/>
      <c r="T119" s="129"/>
      <c r="U119" s="129"/>
      <c r="V119" s="130"/>
      <c r="W119" s="130"/>
      <c r="X119" s="130"/>
      <c r="Y119" s="130"/>
      <c r="Z119" s="152"/>
      <c r="AA119" s="130"/>
      <c r="AB119" s="130"/>
      <c r="AC119" s="130"/>
    </row>
    <row r="120" spans="1:29" ht="12.75" customHeight="1" x14ac:dyDescent="0.2">
      <c r="A120" s="129"/>
      <c r="B120" s="129"/>
      <c r="C120" s="143"/>
      <c r="D120" s="138"/>
      <c r="E120" s="129"/>
      <c r="F120" s="138"/>
      <c r="G120" s="138"/>
      <c r="H120" s="138"/>
      <c r="I120" s="138"/>
      <c r="J120" s="138"/>
      <c r="K120" s="130"/>
      <c r="L120" s="130"/>
      <c r="M120" s="130"/>
      <c r="N120" s="130"/>
      <c r="O120" s="130"/>
      <c r="P120" s="130"/>
      <c r="Q120" s="130"/>
      <c r="R120" s="130"/>
      <c r="S120" s="129"/>
      <c r="T120" s="129"/>
      <c r="U120" s="129"/>
      <c r="V120" s="130"/>
      <c r="W120" s="130"/>
      <c r="X120" s="130"/>
      <c r="Y120" s="130"/>
      <c r="Z120" s="152"/>
      <c r="AA120" s="130"/>
      <c r="AB120" s="130"/>
      <c r="AC120" s="130"/>
    </row>
    <row r="121" spans="1:29" ht="12.75" customHeight="1" x14ac:dyDescent="0.2">
      <c r="A121" s="129"/>
      <c r="B121" s="129"/>
      <c r="C121" s="143"/>
      <c r="D121" s="138"/>
      <c r="E121" s="129"/>
      <c r="F121" s="138"/>
      <c r="G121" s="138"/>
      <c r="H121" s="138"/>
      <c r="I121" s="138"/>
      <c r="J121" s="138"/>
      <c r="K121" s="130"/>
      <c r="L121" s="130"/>
      <c r="M121" s="130"/>
      <c r="N121" s="130"/>
      <c r="O121" s="130"/>
      <c r="P121" s="130"/>
      <c r="Q121" s="130"/>
      <c r="R121" s="130"/>
      <c r="S121" s="129"/>
      <c r="T121" s="129"/>
      <c r="U121" s="129"/>
      <c r="V121" s="130"/>
      <c r="W121" s="130"/>
      <c r="X121" s="130"/>
      <c r="Y121" s="130"/>
      <c r="Z121" s="152"/>
      <c r="AA121" s="130"/>
      <c r="AB121" s="130"/>
      <c r="AC121" s="130"/>
    </row>
    <row r="122" spans="1:29" ht="12.75" customHeight="1" x14ac:dyDescent="0.2">
      <c r="A122" s="129"/>
      <c r="B122" s="129"/>
      <c r="C122" s="143"/>
      <c r="D122" s="138"/>
      <c r="E122" s="129"/>
      <c r="F122" s="138"/>
      <c r="G122" s="138"/>
      <c r="H122" s="138"/>
      <c r="I122" s="138"/>
      <c r="J122" s="138"/>
      <c r="K122" s="130"/>
      <c r="L122" s="130"/>
      <c r="M122" s="130"/>
      <c r="N122" s="130"/>
      <c r="O122" s="130"/>
      <c r="P122" s="130"/>
      <c r="Q122" s="130"/>
      <c r="R122" s="130"/>
      <c r="S122" s="129"/>
      <c r="T122" s="129"/>
      <c r="U122" s="129"/>
      <c r="V122" s="130"/>
      <c r="W122" s="130"/>
      <c r="X122" s="130"/>
      <c r="Y122" s="130"/>
      <c r="Z122" s="152"/>
      <c r="AA122" s="130"/>
      <c r="AB122" s="130"/>
      <c r="AC122" s="130"/>
    </row>
    <row r="123" spans="1:29" ht="12.75" customHeight="1" x14ac:dyDescent="0.2">
      <c r="A123" s="129"/>
      <c r="B123" s="129"/>
      <c r="C123" s="143"/>
      <c r="D123" s="138"/>
      <c r="E123" s="129"/>
      <c r="F123" s="138"/>
      <c r="G123" s="138"/>
      <c r="H123" s="138"/>
      <c r="I123" s="138"/>
      <c r="J123" s="138"/>
      <c r="K123" s="130"/>
      <c r="L123" s="130"/>
      <c r="M123" s="130"/>
      <c r="N123" s="130"/>
      <c r="O123" s="130"/>
      <c r="P123" s="130"/>
      <c r="Q123" s="130"/>
      <c r="R123" s="130"/>
      <c r="S123" s="129"/>
      <c r="T123" s="129"/>
      <c r="U123" s="129"/>
      <c r="V123" s="130"/>
      <c r="W123" s="130"/>
      <c r="X123" s="130"/>
      <c r="Y123" s="130"/>
      <c r="Z123" s="152"/>
      <c r="AA123" s="130"/>
      <c r="AB123" s="130"/>
      <c r="AC123" s="130"/>
    </row>
    <row r="124" spans="1:29" ht="12.75" customHeight="1" x14ac:dyDescent="0.2">
      <c r="A124" s="129"/>
      <c r="B124" s="129"/>
      <c r="C124" s="143"/>
      <c r="D124" s="138"/>
      <c r="E124" s="129"/>
      <c r="F124" s="138"/>
      <c r="G124" s="138"/>
      <c r="H124" s="138"/>
      <c r="I124" s="138"/>
      <c r="J124" s="138"/>
      <c r="K124" s="130"/>
      <c r="L124" s="130"/>
      <c r="M124" s="130"/>
      <c r="N124" s="130"/>
      <c r="O124" s="130"/>
      <c r="P124" s="130"/>
      <c r="Q124" s="130"/>
      <c r="R124" s="130"/>
      <c r="S124" s="129"/>
      <c r="T124" s="129"/>
      <c r="U124" s="129"/>
      <c r="V124" s="130"/>
      <c r="W124" s="130"/>
      <c r="X124" s="130"/>
      <c r="Y124" s="130"/>
      <c r="Z124" s="152"/>
      <c r="AA124" s="130"/>
      <c r="AB124" s="130"/>
      <c r="AC124" s="130"/>
    </row>
    <row r="125" spans="1:29" ht="12.75" customHeight="1" x14ac:dyDescent="0.2">
      <c r="A125" s="129"/>
      <c r="B125" s="129"/>
      <c r="C125" s="143"/>
      <c r="D125" s="138"/>
      <c r="E125" s="129"/>
      <c r="F125" s="138"/>
      <c r="G125" s="138"/>
      <c r="H125" s="138"/>
      <c r="I125" s="138"/>
      <c r="J125" s="138"/>
      <c r="K125" s="130"/>
      <c r="L125" s="130"/>
      <c r="M125" s="130"/>
      <c r="N125" s="130"/>
      <c r="O125" s="130"/>
      <c r="P125" s="130"/>
      <c r="Q125" s="130"/>
      <c r="R125" s="130"/>
      <c r="S125" s="129"/>
      <c r="T125" s="129"/>
      <c r="U125" s="129"/>
      <c r="V125" s="130"/>
      <c r="W125" s="130"/>
      <c r="X125" s="130"/>
      <c r="Y125" s="130"/>
      <c r="Z125" s="152"/>
      <c r="AA125" s="130"/>
      <c r="AB125" s="130"/>
      <c r="AC125" s="130"/>
    </row>
    <row r="126" spans="1:29" ht="12.75" customHeight="1" x14ac:dyDescent="0.2">
      <c r="A126" s="129"/>
      <c r="B126" s="129"/>
      <c r="C126" s="143"/>
      <c r="D126" s="138"/>
      <c r="E126" s="129"/>
      <c r="F126" s="138"/>
      <c r="G126" s="138"/>
      <c r="H126" s="138"/>
      <c r="I126" s="138"/>
      <c r="J126" s="138"/>
      <c r="K126" s="130"/>
      <c r="L126" s="130"/>
      <c r="M126" s="130"/>
      <c r="N126" s="130"/>
      <c r="O126" s="130"/>
      <c r="P126" s="130"/>
      <c r="Q126" s="130"/>
      <c r="R126" s="130"/>
      <c r="S126" s="129"/>
      <c r="T126" s="129"/>
      <c r="U126" s="129"/>
      <c r="V126" s="130"/>
      <c r="W126" s="130"/>
      <c r="X126" s="130"/>
      <c r="Y126" s="130"/>
      <c r="Z126" s="152"/>
      <c r="AA126" s="130"/>
      <c r="AB126" s="130"/>
      <c r="AC126" s="130"/>
    </row>
    <row r="127" spans="1:29" ht="12.75" customHeight="1" x14ac:dyDescent="0.2">
      <c r="A127" s="129"/>
      <c r="B127" s="129"/>
      <c r="C127" s="143"/>
      <c r="D127" s="138"/>
      <c r="E127" s="129"/>
      <c r="F127" s="138"/>
      <c r="G127" s="138"/>
      <c r="H127" s="138"/>
      <c r="I127" s="138"/>
      <c r="J127" s="138"/>
      <c r="K127" s="130"/>
      <c r="L127" s="130"/>
      <c r="M127" s="130"/>
      <c r="N127" s="130"/>
      <c r="O127" s="130"/>
      <c r="P127" s="130"/>
      <c r="Q127" s="130"/>
      <c r="R127" s="130"/>
      <c r="S127" s="129"/>
      <c r="T127" s="129"/>
      <c r="U127" s="129"/>
      <c r="V127" s="130"/>
      <c r="W127" s="130"/>
      <c r="X127" s="130"/>
      <c r="Y127" s="130"/>
      <c r="Z127" s="152"/>
      <c r="AA127" s="130"/>
      <c r="AB127" s="130"/>
      <c r="AC127" s="130"/>
    </row>
    <row r="128" spans="1:29" ht="12.75" customHeight="1" x14ac:dyDescent="0.2">
      <c r="A128" s="129"/>
      <c r="B128" s="129"/>
      <c r="C128" s="143"/>
      <c r="D128" s="138"/>
      <c r="E128" s="129"/>
      <c r="F128" s="138"/>
      <c r="G128" s="138"/>
      <c r="H128" s="138"/>
      <c r="I128" s="138"/>
      <c r="J128" s="138"/>
      <c r="K128" s="130"/>
      <c r="L128" s="130"/>
      <c r="M128" s="130"/>
      <c r="N128" s="130"/>
      <c r="O128" s="130"/>
      <c r="P128" s="130"/>
      <c r="Q128" s="130"/>
      <c r="R128" s="130"/>
      <c r="S128" s="129"/>
      <c r="T128" s="129"/>
      <c r="U128" s="129"/>
      <c r="V128" s="130"/>
      <c r="W128" s="130"/>
      <c r="X128" s="130"/>
      <c r="Y128" s="130"/>
      <c r="Z128" s="152"/>
      <c r="AA128" s="130"/>
      <c r="AB128" s="130"/>
      <c r="AC128" s="130"/>
    </row>
    <row r="129" spans="1:29" ht="12.75" customHeight="1" x14ac:dyDescent="0.2">
      <c r="A129" s="129"/>
      <c r="B129" s="129"/>
      <c r="C129" s="143"/>
      <c r="D129" s="138"/>
      <c r="E129" s="129"/>
      <c r="F129" s="138"/>
      <c r="G129" s="138"/>
      <c r="H129" s="138"/>
      <c r="I129" s="138"/>
      <c r="J129" s="138"/>
      <c r="K129" s="130"/>
      <c r="L129" s="130"/>
      <c r="M129" s="130"/>
      <c r="N129" s="130"/>
      <c r="O129" s="130"/>
      <c r="P129" s="130"/>
      <c r="Q129" s="130"/>
      <c r="R129" s="130"/>
      <c r="S129" s="129"/>
      <c r="T129" s="129"/>
      <c r="U129" s="129"/>
      <c r="V129" s="130"/>
      <c r="W129" s="130"/>
      <c r="X129" s="130"/>
      <c r="Y129" s="130"/>
      <c r="Z129" s="152"/>
      <c r="AA129" s="130"/>
      <c r="AB129" s="130"/>
      <c r="AC129" s="130"/>
    </row>
    <row r="130" spans="1:29" ht="12.75" customHeight="1" x14ac:dyDescent="0.2">
      <c r="A130" s="129"/>
      <c r="B130" s="129"/>
      <c r="C130" s="143"/>
      <c r="D130" s="138"/>
      <c r="E130" s="129"/>
      <c r="F130" s="138"/>
      <c r="G130" s="138"/>
      <c r="H130" s="138"/>
      <c r="I130" s="138"/>
      <c r="J130" s="138"/>
      <c r="K130" s="130"/>
      <c r="L130" s="130"/>
      <c r="M130" s="130"/>
      <c r="N130" s="130"/>
      <c r="O130" s="130"/>
      <c r="P130" s="130"/>
      <c r="Q130" s="130"/>
      <c r="R130" s="130"/>
      <c r="S130" s="129"/>
      <c r="T130" s="129"/>
      <c r="U130" s="129"/>
      <c r="V130" s="130"/>
      <c r="W130" s="130"/>
      <c r="X130" s="130"/>
      <c r="Y130" s="130"/>
      <c r="Z130" s="152"/>
      <c r="AA130" s="130"/>
      <c r="AB130" s="130"/>
      <c r="AC130" s="130"/>
    </row>
    <row r="131" spans="1:29" ht="12.75" customHeight="1" x14ac:dyDescent="0.2">
      <c r="A131" s="129"/>
      <c r="B131" s="129"/>
      <c r="C131" s="143"/>
      <c r="D131" s="138"/>
      <c r="E131" s="129"/>
      <c r="F131" s="138"/>
      <c r="G131" s="138"/>
      <c r="H131" s="138"/>
      <c r="I131" s="138"/>
      <c r="J131" s="138"/>
      <c r="K131" s="130"/>
      <c r="L131" s="130"/>
      <c r="M131" s="130"/>
      <c r="N131" s="130"/>
      <c r="O131" s="130"/>
      <c r="P131" s="130"/>
      <c r="Q131" s="130"/>
      <c r="R131" s="130"/>
      <c r="S131" s="129"/>
      <c r="T131" s="129"/>
      <c r="U131" s="129"/>
      <c r="V131" s="130"/>
      <c r="W131" s="130"/>
      <c r="X131" s="130"/>
      <c r="Y131" s="130"/>
      <c r="Z131" s="152"/>
      <c r="AA131" s="130"/>
      <c r="AB131" s="130"/>
      <c r="AC131" s="130"/>
    </row>
    <row r="132" spans="1:29" ht="12.75" customHeight="1" x14ac:dyDescent="0.2">
      <c r="A132" s="129"/>
      <c r="B132" s="129"/>
      <c r="C132" s="143"/>
      <c r="D132" s="138"/>
      <c r="E132" s="129"/>
      <c r="F132" s="138"/>
      <c r="G132" s="138"/>
      <c r="H132" s="138"/>
      <c r="I132" s="138"/>
      <c r="J132" s="138"/>
      <c r="K132" s="130"/>
      <c r="L132" s="130"/>
      <c r="M132" s="130"/>
      <c r="N132" s="130"/>
      <c r="O132" s="130"/>
      <c r="P132" s="130"/>
      <c r="Q132" s="130"/>
      <c r="R132" s="130"/>
      <c r="S132" s="129"/>
      <c r="T132" s="129"/>
      <c r="U132" s="129"/>
      <c r="V132" s="130"/>
      <c r="W132" s="130"/>
      <c r="X132" s="130"/>
      <c r="Y132" s="130"/>
      <c r="Z132" s="152"/>
      <c r="AA132" s="130"/>
      <c r="AB132" s="130"/>
      <c r="AC132" s="130"/>
    </row>
    <row r="133" spans="1:29" ht="12.75" customHeight="1" x14ac:dyDescent="0.2">
      <c r="A133" s="129"/>
      <c r="B133" s="129"/>
      <c r="C133" s="143"/>
      <c r="D133" s="138"/>
      <c r="E133" s="129"/>
      <c r="F133" s="138"/>
      <c r="G133" s="138"/>
      <c r="H133" s="138"/>
      <c r="I133" s="138"/>
      <c r="J133" s="138"/>
      <c r="K133" s="130"/>
      <c r="L133" s="130"/>
      <c r="M133" s="130"/>
      <c r="N133" s="130"/>
      <c r="O133" s="130"/>
      <c r="P133" s="130"/>
      <c r="Q133" s="130"/>
      <c r="R133" s="130"/>
      <c r="S133" s="129"/>
      <c r="T133" s="129"/>
      <c r="U133" s="129"/>
      <c r="V133" s="130"/>
      <c r="W133" s="130"/>
      <c r="X133" s="130"/>
      <c r="Y133" s="130"/>
      <c r="Z133" s="152"/>
      <c r="AA133" s="130"/>
      <c r="AB133" s="130"/>
      <c r="AC133" s="130"/>
    </row>
    <row r="134" spans="1:29" ht="12.75" customHeight="1" x14ac:dyDescent="0.2">
      <c r="A134" s="129"/>
      <c r="B134" s="129"/>
      <c r="C134" s="143"/>
      <c r="D134" s="138"/>
      <c r="E134" s="129"/>
      <c r="F134" s="138"/>
      <c r="G134" s="138"/>
      <c r="H134" s="138"/>
      <c r="I134" s="138"/>
      <c r="J134" s="138"/>
      <c r="K134" s="130"/>
      <c r="L134" s="130"/>
      <c r="M134" s="130"/>
      <c r="N134" s="130"/>
      <c r="O134" s="130"/>
      <c r="P134" s="130"/>
      <c r="Q134" s="130"/>
      <c r="R134" s="130"/>
      <c r="S134" s="129"/>
      <c r="T134" s="129"/>
      <c r="U134" s="129"/>
      <c r="V134" s="130"/>
      <c r="W134" s="130"/>
      <c r="X134" s="130"/>
      <c r="Y134" s="130"/>
      <c r="Z134" s="152"/>
      <c r="AA134" s="130"/>
      <c r="AB134" s="130"/>
      <c r="AC134" s="130"/>
    </row>
    <row r="135" spans="1:29" ht="12.75" customHeight="1" x14ac:dyDescent="0.2">
      <c r="A135" s="129"/>
      <c r="B135" s="129"/>
      <c r="C135" s="143"/>
      <c r="D135" s="138"/>
      <c r="E135" s="129"/>
      <c r="F135" s="138"/>
      <c r="G135" s="138"/>
      <c r="H135" s="138"/>
      <c r="I135" s="138"/>
      <c r="J135" s="138"/>
      <c r="K135" s="130"/>
      <c r="L135" s="130"/>
      <c r="M135" s="130"/>
      <c r="N135" s="130"/>
      <c r="O135" s="130"/>
      <c r="P135" s="130"/>
      <c r="Q135" s="130"/>
      <c r="R135" s="130"/>
      <c r="S135" s="129"/>
      <c r="T135" s="129"/>
      <c r="U135" s="129"/>
      <c r="V135" s="130"/>
      <c r="W135" s="130"/>
      <c r="X135" s="130"/>
      <c r="Y135" s="130"/>
      <c r="Z135" s="152"/>
      <c r="AA135" s="130"/>
      <c r="AB135" s="130"/>
      <c r="AC135" s="130"/>
    </row>
    <row r="136" spans="1:29" ht="12.75" customHeight="1" x14ac:dyDescent="0.2">
      <c r="A136" s="129"/>
      <c r="B136" s="129"/>
      <c r="C136" s="143"/>
      <c r="D136" s="138"/>
      <c r="E136" s="129"/>
      <c r="F136" s="138"/>
      <c r="G136" s="138"/>
      <c r="H136" s="138"/>
      <c r="I136" s="138"/>
      <c r="J136" s="138"/>
      <c r="K136" s="130"/>
      <c r="L136" s="130"/>
      <c r="M136" s="130"/>
      <c r="N136" s="130"/>
      <c r="O136" s="130"/>
      <c r="P136" s="130"/>
      <c r="Q136" s="130"/>
      <c r="R136" s="130"/>
      <c r="S136" s="129"/>
      <c r="T136" s="129"/>
      <c r="U136" s="129"/>
      <c r="V136" s="130"/>
      <c r="W136" s="130"/>
      <c r="X136" s="130"/>
      <c r="Y136" s="130"/>
      <c r="Z136" s="152"/>
      <c r="AA136" s="130"/>
      <c r="AB136" s="130"/>
      <c r="AC136" s="130"/>
    </row>
    <row r="137" spans="1:29" ht="12.75" customHeight="1" x14ac:dyDescent="0.2">
      <c r="A137" s="129"/>
      <c r="B137" s="129"/>
      <c r="C137" s="143"/>
      <c r="D137" s="138"/>
      <c r="E137" s="129"/>
      <c r="F137" s="138"/>
      <c r="G137" s="138"/>
      <c r="H137" s="138"/>
      <c r="I137" s="138"/>
      <c r="J137" s="138"/>
      <c r="K137" s="130"/>
      <c r="L137" s="130"/>
      <c r="M137" s="130"/>
      <c r="N137" s="130"/>
      <c r="O137" s="130"/>
      <c r="P137" s="130"/>
      <c r="Q137" s="130"/>
      <c r="R137" s="130"/>
      <c r="S137" s="129"/>
      <c r="T137" s="129"/>
      <c r="U137" s="129"/>
      <c r="V137" s="130"/>
      <c r="W137" s="130"/>
      <c r="X137" s="130"/>
      <c r="Y137" s="130"/>
      <c r="Z137" s="152"/>
      <c r="AA137" s="130"/>
      <c r="AB137" s="130"/>
      <c r="AC137" s="130"/>
    </row>
    <row r="138" spans="1:29" ht="12.75" customHeight="1" x14ac:dyDescent="0.2">
      <c r="A138" s="129"/>
      <c r="B138" s="129"/>
      <c r="C138" s="143"/>
      <c r="D138" s="138"/>
      <c r="E138" s="129"/>
      <c r="F138" s="138"/>
      <c r="G138" s="138"/>
      <c r="H138" s="138"/>
      <c r="I138" s="138"/>
      <c r="J138" s="138"/>
      <c r="K138" s="130"/>
      <c r="L138" s="130"/>
      <c r="M138" s="130"/>
      <c r="N138" s="130"/>
      <c r="O138" s="130"/>
      <c r="P138" s="130"/>
      <c r="Q138" s="130"/>
      <c r="R138" s="130"/>
      <c r="S138" s="129"/>
      <c r="T138" s="129"/>
      <c r="U138" s="129"/>
      <c r="V138" s="130"/>
      <c r="W138" s="130"/>
      <c r="X138" s="130"/>
      <c r="Y138" s="130"/>
      <c r="Z138" s="152"/>
      <c r="AA138" s="130"/>
      <c r="AB138" s="130"/>
      <c r="AC138" s="130"/>
    </row>
    <row r="139" spans="1:29" ht="12.75" customHeight="1" x14ac:dyDescent="0.2">
      <c r="A139" s="129"/>
      <c r="B139" s="129"/>
      <c r="C139" s="143"/>
      <c r="D139" s="138"/>
      <c r="E139" s="129"/>
      <c r="F139" s="138"/>
      <c r="G139" s="138"/>
      <c r="H139" s="138"/>
      <c r="I139" s="138"/>
      <c r="J139" s="138"/>
      <c r="K139" s="130"/>
      <c r="L139" s="130"/>
      <c r="M139" s="130"/>
      <c r="N139" s="130"/>
      <c r="O139" s="130"/>
      <c r="P139" s="130"/>
      <c r="Q139" s="130"/>
      <c r="R139" s="130"/>
      <c r="S139" s="129"/>
      <c r="T139" s="129"/>
      <c r="U139" s="129"/>
      <c r="V139" s="130"/>
      <c r="W139" s="130"/>
      <c r="X139" s="130"/>
      <c r="Y139" s="130"/>
      <c r="Z139" s="152"/>
      <c r="AA139" s="130"/>
      <c r="AB139" s="130"/>
      <c r="AC139" s="130"/>
    </row>
    <row r="140" spans="1:29" ht="12.75" customHeight="1" x14ac:dyDescent="0.2">
      <c r="A140" s="129"/>
      <c r="B140" s="129"/>
      <c r="C140" s="143"/>
      <c r="D140" s="138"/>
      <c r="E140" s="129"/>
      <c r="F140" s="138"/>
      <c r="G140" s="138"/>
      <c r="H140" s="138"/>
      <c r="I140" s="138"/>
      <c r="J140" s="138"/>
      <c r="K140" s="130"/>
      <c r="L140" s="130"/>
      <c r="M140" s="130"/>
      <c r="N140" s="130"/>
      <c r="O140" s="130"/>
      <c r="P140" s="130"/>
      <c r="Q140" s="130"/>
      <c r="R140" s="130"/>
      <c r="S140" s="129"/>
      <c r="T140" s="129"/>
      <c r="U140" s="129"/>
      <c r="V140" s="130"/>
      <c r="W140" s="130"/>
      <c r="X140" s="130"/>
      <c r="Y140" s="130"/>
      <c r="Z140" s="152"/>
      <c r="AA140" s="130"/>
      <c r="AB140" s="130"/>
      <c r="AC140" s="130"/>
    </row>
    <row r="141" spans="1:29" ht="12.75" customHeight="1" x14ac:dyDescent="0.2">
      <c r="A141" s="129"/>
      <c r="B141" s="129"/>
      <c r="C141" s="143"/>
      <c r="D141" s="138"/>
      <c r="E141" s="129"/>
      <c r="F141" s="138"/>
      <c r="G141" s="138"/>
      <c r="H141" s="138"/>
      <c r="I141" s="138"/>
      <c r="J141" s="138"/>
      <c r="K141" s="130"/>
      <c r="L141" s="130"/>
      <c r="M141" s="130"/>
      <c r="N141" s="130"/>
      <c r="O141" s="130"/>
      <c r="P141" s="130"/>
      <c r="Q141" s="130"/>
      <c r="R141" s="130"/>
      <c r="S141" s="129"/>
      <c r="T141" s="129"/>
      <c r="U141" s="129"/>
      <c r="V141" s="130"/>
      <c r="W141" s="130"/>
      <c r="X141" s="130"/>
      <c r="Y141" s="130"/>
      <c r="Z141" s="152"/>
      <c r="AA141" s="130"/>
      <c r="AB141" s="130"/>
      <c r="AC141" s="130"/>
    </row>
    <row r="142" spans="1:29" ht="12.75" customHeight="1" x14ac:dyDescent="0.2">
      <c r="A142" s="129"/>
      <c r="B142" s="129"/>
      <c r="C142" s="143"/>
      <c r="D142" s="138"/>
      <c r="E142" s="129"/>
      <c r="F142" s="138"/>
      <c r="G142" s="138"/>
      <c r="H142" s="138"/>
      <c r="I142" s="138"/>
      <c r="J142" s="138"/>
      <c r="K142" s="130"/>
      <c r="L142" s="130"/>
      <c r="M142" s="130"/>
      <c r="N142" s="130"/>
      <c r="O142" s="130"/>
      <c r="P142" s="130"/>
      <c r="Q142" s="130"/>
      <c r="R142" s="130"/>
      <c r="S142" s="129"/>
      <c r="T142" s="129"/>
      <c r="U142" s="129"/>
      <c r="V142" s="130"/>
      <c r="W142" s="130"/>
      <c r="X142" s="130"/>
      <c r="Y142" s="130"/>
      <c r="Z142" s="152"/>
      <c r="AA142" s="130"/>
      <c r="AB142" s="130"/>
      <c r="AC142" s="130"/>
    </row>
    <row r="143" spans="1:29" ht="12.75" customHeight="1" x14ac:dyDescent="0.2">
      <c r="A143" s="129"/>
      <c r="B143" s="129"/>
      <c r="C143" s="143"/>
      <c r="D143" s="138"/>
      <c r="E143" s="129"/>
      <c r="F143" s="138"/>
      <c r="G143" s="138"/>
      <c r="H143" s="138"/>
      <c r="I143" s="138"/>
      <c r="J143" s="138"/>
      <c r="K143" s="130"/>
      <c r="L143" s="130"/>
      <c r="M143" s="130"/>
      <c r="N143" s="130"/>
      <c r="O143" s="130"/>
      <c r="P143" s="130"/>
      <c r="Q143" s="130"/>
      <c r="R143" s="130"/>
      <c r="S143" s="129"/>
      <c r="T143" s="129"/>
      <c r="U143" s="129"/>
      <c r="V143" s="130"/>
      <c r="W143" s="130"/>
      <c r="X143" s="130"/>
      <c r="Y143" s="130"/>
      <c r="Z143" s="152"/>
      <c r="AA143" s="130"/>
      <c r="AB143" s="130"/>
      <c r="AC143" s="130"/>
    </row>
    <row r="144" spans="1:29" ht="12.75" customHeight="1" x14ac:dyDescent="0.2">
      <c r="A144" s="129"/>
      <c r="B144" s="129"/>
      <c r="C144" s="143"/>
      <c r="D144" s="138"/>
      <c r="E144" s="129"/>
      <c r="F144" s="138"/>
      <c r="G144" s="138"/>
      <c r="H144" s="138"/>
      <c r="I144" s="138"/>
      <c r="J144" s="138"/>
      <c r="K144" s="130"/>
      <c r="L144" s="130"/>
      <c r="M144" s="130"/>
      <c r="N144" s="130"/>
      <c r="O144" s="130"/>
      <c r="P144" s="130"/>
      <c r="Q144" s="130"/>
      <c r="R144" s="130"/>
      <c r="S144" s="129"/>
      <c r="T144" s="129"/>
      <c r="U144" s="129"/>
      <c r="V144" s="130"/>
      <c r="W144" s="130"/>
      <c r="X144" s="130"/>
      <c r="Y144" s="130"/>
      <c r="Z144" s="152"/>
      <c r="AA144" s="130"/>
      <c r="AB144" s="130"/>
      <c r="AC144" s="130"/>
    </row>
    <row r="145" spans="1:29" ht="12.75" customHeight="1" x14ac:dyDescent="0.2">
      <c r="A145" s="129"/>
      <c r="B145" s="129"/>
      <c r="C145" s="143"/>
      <c r="D145" s="138"/>
      <c r="E145" s="129"/>
      <c r="F145" s="138"/>
      <c r="G145" s="138"/>
      <c r="H145" s="138"/>
      <c r="I145" s="138"/>
      <c r="J145" s="138"/>
      <c r="K145" s="130"/>
      <c r="L145" s="130"/>
      <c r="M145" s="130"/>
      <c r="N145" s="130"/>
      <c r="O145" s="130"/>
      <c r="P145" s="130"/>
      <c r="Q145" s="130"/>
      <c r="R145" s="130"/>
      <c r="S145" s="129"/>
      <c r="T145" s="129"/>
      <c r="U145" s="129"/>
      <c r="V145" s="130"/>
      <c r="W145" s="130"/>
      <c r="X145" s="130"/>
      <c r="Y145" s="130"/>
      <c r="Z145" s="152"/>
      <c r="AA145" s="130"/>
      <c r="AB145" s="130"/>
      <c r="AC145" s="130"/>
    </row>
    <row r="146" spans="1:29" ht="12.75" customHeight="1" x14ac:dyDescent="0.2">
      <c r="A146" s="129"/>
      <c r="B146" s="129"/>
      <c r="C146" s="143"/>
      <c r="D146" s="138"/>
      <c r="E146" s="129"/>
      <c r="F146" s="138"/>
      <c r="G146" s="138"/>
      <c r="H146" s="138"/>
      <c r="I146" s="138"/>
      <c r="J146" s="138"/>
      <c r="K146" s="130"/>
      <c r="L146" s="130"/>
      <c r="M146" s="130"/>
      <c r="N146" s="130"/>
      <c r="O146" s="130"/>
      <c r="P146" s="130"/>
      <c r="Q146" s="130"/>
      <c r="R146" s="130"/>
      <c r="S146" s="129"/>
      <c r="T146" s="129"/>
      <c r="U146" s="129"/>
      <c r="V146" s="130"/>
      <c r="W146" s="130"/>
      <c r="X146" s="130"/>
      <c r="Y146" s="130"/>
      <c r="Z146" s="152"/>
      <c r="AA146" s="130"/>
      <c r="AB146" s="130"/>
      <c r="AC146" s="130"/>
    </row>
    <row r="147" spans="1:29" ht="12.75" customHeight="1" x14ac:dyDescent="0.2">
      <c r="A147" s="129"/>
      <c r="B147" s="129"/>
      <c r="C147" s="143"/>
      <c r="D147" s="138"/>
      <c r="E147" s="129"/>
      <c r="F147" s="138"/>
      <c r="G147" s="138"/>
      <c r="H147" s="138"/>
      <c r="I147" s="138"/>
      <c r="J147" s="138"/>
      <c r="K147" s="130"/>
      <c r="L147" s="130"/>
      <c r="M147" s="130"/>
      <c r="N147" s="130"/>
      <c r="O147" s="130"/>
      <c r="P147" s="130"/>
      <c r="Q147" s="130"/>
      <c r="R147" s="130"/>
      <c r="S147" s="129"/>
      <c r="T147" s="129"/>
      <c r="U147" s="129"/>
      <c r="V147" s="130"/>
      <c r="W147" s="130"/>
      <c r="X147" s="130"/>
      <c r="Y147" s="130"/>
      <c r="Z147" s="152"/>
      <c r="AA147" s="130"/>
      <c r="AB147" s="130"/>
      <c r="AC147" s="130"/>
    </row>
    <row r="148" spans="1:29" ht="12.75" customHeight="1" x14ac:dyDescent="0.2">
      <c r="A148" s="129"/>
      <c r="B148" s="129"/>
      <c r="C148" s="143"/>
      <c r="D148" s="138"/>
      <c r="E148" s="129"/>
      <c r="F148" s="138"/>
      <c r="G148" s="138"/>
      <c r="H148" s="138"/>
      <c r="I148" s="138"/>
      <c r="J148" s="138"/>
      <c r="K148" s="130"/>
      <c r="L148" s="130"/>
      <c r="M148" s="130"/>
      <c r="N148" s="130"/>
      <c r="O148" s="130"/>
      <c r="P148" s="130"/>
      <c r="Q148" s="130"/>
      <c r="R148" s="130"/>
      <c r="S148" s="129"/>
      <c r="T148" s="129"/>
      <c r="U148" s="129"/>
      <c r="V148" s="130"/>
      <c r="W148" s="130"/>
      <c r="X148" s="130"/>
      <c r="Y148" s="130"/>
      <c r="Z148" s="152"/>
      <c r="AA148" s="130"/>
      <c r="AB148" s="130"/>
      <c r="AC148" s="130"/>
    </row>
    <row r="149" spans="1:29" ht="12.75" customHeight="1" x14ac:dyDescent="0.2">
      <c r="A149" s="129"/>
      <c r="B149" s="129"/>
      <c r="C149" s="143"/>
      <c r="D149" s="138"/>
      <c r="E149" s="129"/>
      <c r="F149" s="138"/>
      <c r="G149" s="138"/>
      <c r="H149" s="138"/>
      <c r="I149" s="138"/>
      <c r="J149" s="138"/>
      <c r="K149" s="130"/>
      <c r="L149" s="130"/>
      <c r="M149" s="130"/>
      <c r="N149" s="130"/>
      <c r="O149" s="130"/>
      <c r="P149" s="130"/>
      <c r="Q149" s="130"/>
      <c r="R149" s="130"/>
      <c r="S149" s="129"/>
      <c r="T149" s="129"/>
      <c r="U149" s="129"/>
      <c r="V149" s="130"/>
      <c r="W149" s="130"/>
      <c r="X149" s="130"/>
      <c r="Y149" s="130"/>
      <c r="Z149" s="152"/>
      <c r="AA149" s="130"/>
      <c r="AB149" s="130"/>
      <c r="AC149" s="130"/>
    </row>
    <row r="150" spans="1:29" ht="12.75" customHeight="1" x14ac:dyDescent="0.2">
      <c r="A150" s="129"/>
      <c r="B150" s="129"/>
      <c r="C150" s="143"/>
      <c r="D150" s="138"/>
      <c r="E150" s="129"/>
      <c r="F150" s="138"/>
      <c r="G150" s="138"/>
      <c r="H150" s="138"/>
      <c r="I150" s="138"/>
      <c r="J150" s="138"/>
      <c r="K150" s="130"/>
      <c r="L150" s="130"/>
      <c r="M150" s="130"/>
      <c r="N150" s="130"/>
      <c r="O150" s="130"/>
      <c r="P150" s="130"/>
      <c r="Q150" s="130"/>
      <c r="R150" s="130"/>
      <c r="S150" s="129"/>
      <c r="T150" s="129"/>
      <c r="U150" s="129"/>
      <c r="V150" s="130"/>
      <c r="W150" s="130"/>
      <c r="X150" s="130"/>
      <c r="Y150" s="130"/>
      <c r="Z150" s="152"/>
      <c r="AA150" s="130"/>
      <c r="AB150" s="130"/>
      <c r="AC150" s="130"/>
    </row>
    <row r="151" spans="1:29" ht="12.75" customHeight="1" x14ac:dyDescent="0.2">
      <c r="A151" s="129"/>
      <c r="B151" s="129"/>
      <c r="C151" s="143"/>
      <c r="D151" s="138"/>
      <c r="E151" s="129"/>
      <c r="F151" s="138"/>
      <c r="G151" s="138"/>
      <c r="H151" s="138"/>
      <c r="I151" s="138"/>
      <c r="J151" s="138"/>
      <c r="K151" s="130"/>
      <c r="L151" s="130"/>
      <c r="M151" s="130"/>
      <c r="N151" s="130"/>
      <c r="O151" s="130"/>
      <c r="P151" s="130"/>
      <c r="Q151" s="130"/>
      <c r="R151" s="130"/>
      <c r="S151" s="129"/>
      <c r="T151" s="129"/>
      <c r="U151" s="129"/>
      <c r="V151" s="130"/>
      <c r="W151" s="130"/>
      <c r="X151" s="130"/>
      <c r="Y151" s="130"/>
      <c r="Z151" s="152"/>
      <c r="AA151" s="130"/>
      <c r="AB151" s="130"/>
      <c r="AC151" s="130"/>
    </row>
    <row r="152" spans="1:29" ht="12.75" customHeight="1" x14ac:dyDescent="0.2">
      <c r="A152" s="129"/>
      <c r="B152" s="129"/>
      <c r="C152" s="143"/>
      <c r="D152" s="138"/>
      <c r="E152" s="129"/>
      <c r="F152" s="138"/>
      <c r="G152" s="138"/>
      <c r="H152" s="138"/>
      <c r="I152" s="138"/>
      <c r="J152" s="138"/>
      <c r="K152" s="130"/>
      <c r="L152" s="130"/>
      <c r="M152" s="130"/>
      <c r="N152" s="130"/>
      <c r="O152" s="130"/>
      <c r="P152" s="130"/>
      <c r="Q152" s="130"/>
      <c r="R152" s="130"/>
      <c r="S152" s="129"/>
      <c r="T152" s="129"/>
      <c r="U152" s="129"/>
      <c r="V152" s="130"/>
      <c r="W152" s="130"/>
      <c r="X152" s="130"/>
      <c r="Y152" s="130"/>
      <c r="Z152" s="152"/>
      <c r="AA152" s="130"/>
      <c r="AB152" s="130"/>
      <c r="AC152" s="130"/>
    </row>
    <row r="153" spans="1:29" ht="12.75" customHeight="1" x14ac:dyDescent="0.2">
      <c r="A153" s="129"/>
      <c r="B153" s="129"/>
      <c r="C153" s="143"/>
      <c r="D153" s="138"/>
      <c r="E153" s="129"/>
      <c r="F153" s="138"/>
      <c r="G153" s="138"/>
      <c r="H153" s="138"/>
      <c r="I153" s="138"/>
      <c r="J153" s="138"/>
      <c r="K153" s="130"/>
      <c r="L153" s="130"/>
      <c r="M153" s="130"/>
      <c r="N153" s="130"/>
      <c r="O153" s="130"/>
      <c r="P153" s="130"/>
      <c r="Q153" s="130"/>
      <c r="R153" s="130"/>
      <c r="S153" s="129"/>
      <c r="T153" s="129"/>
      <c r="U153" s="129"/>
      <c r="V153" s="130"/>
      <c r="W153" s="130"/>
      <c r="X153" s="130"/>
      <c r="Y153" s="130"/>
      <c r="Z153" s="152"/>
      <c r="AA153" s="130"/>
      <c r="AB153" s="130"/>
      <c r="AC153" s="130"/>
    </row>
    <row r="154" spans="1:29" ht="12.75" customHeight="1" x14ac:dyDescent="0.2">
      <c r="A154" s="129"/>
      <c r="B154" s="129"/>
      <c r="C154" s="143"/>
      <c r="D154" s="138"/>
      <c r="E154" s="129"/>
      <c r="F154" s="138"/>
      <c r="G154" s="138"/>
      <c r="H154" s="138"/>
      <c r="I154" s="138"/>
      <c r="J154" s="138"/>
      <c r="K154" s="130"/>
      <c r="L154" s="130"/>
      <c r="M154" s="130"/>
      <c r="N154" s="130"/>
      <c r="O154" s="130"/>
      <c r="P154" s="130"/>
      <c r="Q154" s="130"/>
      <c r="R154" s="130"/>
      <c r="S154" s="129"/>
      <c r="T154" s="129"/>
      <c r="U154" s="129"/>
      <c r="V154" s="130"/>
      <c r="W154" s="130"/>
      <c r="X154" s="130"/>
      <c r="Y154" s="130"/>
      <c r="Z154" s="152"/>
      <c r="AA154" s="130"/>
      <c r="AB154" s="130"/>
      <c r="AC154" s="130"/>
    </row>
    <row r="155" spans="1:29" ht="12.75" customHeight="1" x14ac:dyDescent="0.2">
      <c r="A155" s="129"/>
      <c r="B155" s="129"/>
      <c r="C155" s="143"/>
      <c r="D155" s="138"/>
      <c r="E155" s="129"/>
      <c r="F155" s="138"/>
      <c r="G155" s="138"/>
      <c r="H155" s="138"/>
      <c r="I155" s="138"/>
      <c r="J155" s="138"/>
      <c r="K155" s="130"/>
      <c r="L155" s="130"/>
      <c r="M155" s="130"/>
      <c r="N155" s="130"/>
      <c r="O155" s="130"/>
      <c r="P155" s="130"/>
      <c r="Q155" s="130"/>
      <c r="R155" s="130"/>
      <c r="S155" s="129"/>
      <c r="T155" s="129"/>
      <c r="U155" s="129"/>
      <c r="V155" s="130"/>
      <c r="W155" s="130"/>
      <c r="X155" s="130"/>
      <c r="Y155" s="130"/>
      <c r="Z155" s="152"/>
      <c r="AA155" s="130"/>
      <c r="AB155" s="130"/>
      <c r="AC155" s="130"/>
    </row>
    <row r="156" spans="1:29" ht="12.75" customHeight="1" x14ac:dyDescent="0.2">
      <c r="A156" s="129"/>
      <c r="B156" s="129"/>
      <c r="C156" s="143"/>
      <c r="D156" s="138"/>
      <c r="E156" s="129"/>
      <c r="F156" s="138"/>
      <c r="G156" s="138"/>
      <c r="H156" s="138"/>
      <c r="I156" s="138"/>
      <c r="J156" s="138"/>
      <c r="K156" s="130"/>
      <c r="L156" s="130"/>
      <c r="M156" s="130"/>
      <c r="N156" s="130"/>
      <c r="O156" s="130"/>
      <c r="P156" s="130"/>
      <c r="Q156" s="130"/>
      <c r="R156" s="130"/>
      <c r="S156" s="129"/>
      <c r="T156" s="129"/>
      <c r="U156" s="129"/>
      <c r="V156" s="130"/>
      <c r="W156" s="130"/>
      <c r="X156" s="130"/>
      <c r="Y156" s="130"/>
      <c r="Z156" s="152"/>
      <c r="AA156" s="130"/>
      <c r="AB156" s="130"/>
      <c r="AC156" s="130"/>
    </row>
    <row r="157" spans="1:29" ht="12.75" customHeight="1" x14ac:dyDescent="0.2">
      <c r="A157" s="129"/>
      <c r="B157" s="129"/>
      <c r="C157" s="143"/>
      <c r="D157" s="138"/>
      <c r="E157" s="129"/>
      <c r="F157" s="138"/>
      <c r="G157" s="138"/>
      <c r="H157" s="138"/>
      <c r="I157" s="138"/>
      <c r="J157" s="138"/>
      <c r="K157" s="130"/>
      <c r="L157" s="130"/>
      <c r="M157" s="130"/>
      <c r="N157" s="130"/>
      <c r="O157" s="130"/>
      <c r="P157" s="130"/>
      <c r="Q157" s="130"/>
      <c r="R157" s="130"/>
      <c r="S157" s="129"/>
      <c r="T157" s="129"/>
      <c r="U157" s="129"/>
      <c r="V157" s="130"/>
      <c r="W157" s="130"/>
      <c r="X157" s="130"/>
      <c r="Y157" s="130"/>
      <c r="Z157" s="152"/>
      <c r="AA157" s="130"/>
      <c r="AB157" s="130"/>
      <c r="AC157" s="130"/>
    </row>
    <row r="158" spans="1:29" ht="12.75" customHeight="1" x14ac:dyDescent="0.2">
      <c r="A158" s="129"/>
      <c r="B158" s="129"/>
      <c r="C158" s="143"/>
      <c r="D158" s="138"/>
      <c r="E158" s="129"/>
      <c r="F158" s="138"/>
      <c r="G158" s="138"/>
      <c r="H158" s="138"/>
      <c r="I158" s="138"/>
      <c r="J158" s="138"/>
      <c r="K158" s="130"/>
      <c r="L158" s="130"/>
      <c r="M158" s="130"/>
      <c r="N158" s="130"/>
      <c r="O158" s="130"/>
      <c r="P158" s="130"/>
      <c r="Q158" s="130"/>
      <c r="R158" s="130"/>
      <c r="S158" s="129"/>
      <c r="T158" s="129"/>
      <c r="U158" s="129"/>
      <c r="V158" s="130"/>
      <c r="W158" s="130"/>
      <c r="X158" s="130"/>
      <c r="Y158" s="130"/>
      <c r="Z158" s="152"/>
      <c r="AA158" s="130"/>
      <c r="AB158" s="130"/>
      <c r="AC158" s="130"/>
    </row>
    <row r="159" spans="1:29" ht="12.75" customHeight="1" x14ac:dyDescent="0.2">
      <c r="A159" s="129"/>
      <c r="B159" s="129"/>
      <c r="C159" s="143"/>
      <c r="D159" s="138"/>
      <c r="E159" s="129"/>
      <c r="F159" s="138"/>
      <c r="G159" s="138"/>
      <c r="H159" s="138"/>
      <c r="I159" s="138"/>
      <c r="J159" s="138"/>
      <c r="K159" s="130"/>
      <c r="L159" s="130"/>
      <c r="M159" s="130"/>
      <c r="N159" s="130"/>
      <c r="O159" s="130"/>
      <c r="P159" s="130"/>
      <c r="Q159" s="130"/>
      <c r="R159" s="130"/>
      <c r="S159" s="129"/>
      <c r="T159" s="129"/>
      <c r="U159" s="129"/>
      <c r="V159" s="130"/>
      <c r="W159" s="130"/>
      <c r="X159" s="130"/>
      <c r="Y159" s="130"/>
      <c r="Z159" s="152"/>
      <c r="AA159" s="130"/>
      <c r="AB159" s="130"/>
      <c r="AC159" s="130"/>
    </row>
    <row r="160" spans="1:29" ht="12.75" customHeight="1" x14ac:dyDescent="0.2">
      <c r="A160" s="129"/>
      <c r="B160" s="129"/>
      <c r="C160" s="143"/>
      <c r="D160" s="138"/>
      <c r="E160" s="129"/>
      <c r="F160" s="138"/>
      <c r="G160" s="138"/>
      <c r="H160" s="138"/>
      <c r="I160" s="138"/>
      <c r="J160" s="138"/>
      <c r="K160" s="130"/>
      <c r="L160" s="130"/>
      <c r="M160" s="130"/>
      <c r="N160" s="130"/>
      <c r="O160" s="130"/>
      <c r="P160" s="130"/>
      <c r="Q160" s="130"/>
      <c r="R160" s="130"/>
      <c r="S160" s="129"/>
      <c r="T160" s="129"/>
      <c r="U160" s="129"/>
      <c r="V160" s="130"/>
      <c r="W160" s="130"/>
      <c r="X160" s="130"/>
      <c r="Y160" s="130"/>
      <c r="Z160" s="152"/>
      <c r="AA160" s="130"/>
      <c r="AB160" s="130"/>
      <c r="AC160" s="130"/>
    </row>
    <row r="161" spans="1:29" ht="12.75" customHeight="1" x14ac:dyDescent="0.2">
      <c r="A161" s="129"/>
      <c r="B161" s="129"/>
      <c r="C161" s="143"/>
      <c r="D161" s="138"/>
      <c r="E161" s="129"/>
      <c r="F161" s="138"/>
      <c r="G161" s="138"/>
      <c r="H161" s="138"/>
      <c r="I161" s="138"/>
      <c r="J161" s="138"/>
      <c r="K161" s="130"/>
      <c r="L161" s="130"/>
      <c r="M161" s="130"/>
      <c r="N161" s="130"/>
      <c r="O161" s="130"/>
      <c r="P161" s="130"/>
      <c r="Q161" s="130"/>
      <c r="R161" s="130"/>
      <c r="S161" s="129"/>
      <c r="T161" s="129"/>
      <c r="U161" s="129"/>
      <c r="V161" s="130"/>
      <c r="W161" s="130"/>
      <c r="X161" s="130"/>
      <c r="Y161" s="130"/>
      <c r="Z161" s="152"/>
      <c r="AA161" s="130"/>
      <c r="AB161" s="130"/>
      <c r="AC161" s="130"/>
    </row>
    <row r="162" spans="1:29" ht="12.75" customHeight="1" x14ac:dyDescent="0.2">
      <c r="A162" s="129"/>
      <c r="B162" s="129"/>
      <c r="C162" s="143"/>
      <c r="D162" s="138"/>
      <c r="E162" s="129"/>
      <c r="F162" s="138"/>
      <c r="G162" s="138"/>
      <c r="H162" s="138"/>
      <c r="I162" s="138"/>
      <c r="J162" s="138"/>
      <c r="K162" s="130"/>
      <c r="L162" s="130"/>
      <c r="M162" s="130"/>
      <c r="N162" s="130"/>
      <c r="O162" s="130"/>
      <c r="P162" s="130"/>
      <c r="Q162" s="130"/>
      <c r="R162" s="130"/>
      <c r="S162" s="129"/>
      <c r="T162" s="129"/>
      <c r="U162" s="129"/>
      <c r="V162" s="130"/>
      <c r="W162" s="130"/>
      <c r="X162" s="130"/>
      <c r="Y162" s="130"/>
      <c r="Z162" s="152"/>
      <c r="AA162" s="130"/>
      <c r="AB162" s="130"/>
      <c r="AC162" s="130"/>
    </row>
    <row r="163" spans="1:29" ht="12.75" customHeight="1" x14ac:dyDescent="0.2">
      <c r="A163" s="129"/>
      <c r="B163" s="129"/>
      <c r="C163" s="143"/>
      <c r="D163" s="138"/>
      <c r="E163" s="129"/>
      <c r="F163" s="138"/>
      <c r="G163" s="138"/>
      <c r="H163" s="138"/>
      <c r="I163" s="138"/>
      <c r="J163" s="138"/>
      <c r="K163" s="130"/>
      <c r="L163" s="130"/>
      <c r="M163" s="130"/>
      <c r="N163" s="130"/>
      <c r="O163" s="130"/>
      <c r="P163" s="130"/>
      <c r="Q163" s="130"/>
      <c r="R163" s="130"/>
      <c r="S163" s="129"/>
      <c r="T163" s="129"/>
      <c r="U163" s="129"/>
      <c r="V163" s="130"/>
      <c r="W163" s="130"/>
      <c r="X163" s="130"/>
      <c r="Y163" s="130"/>
      <c r="Z163" s="152"/>
      <c r="AA163" s="130"/>
      <c r="AB163" s="130"/>
      <c r="AC163" s="130"/>
    </row>
    <row r="164" spans="1:29" ht="12.75" customHeight="1" x14ac:dyDescent="0.2">
      <c r="A164" s="129"/>
      <c r="B164" s="129"/>
      <c r="C164" s="143"/>
      <c r="D164" s="138"/>
      <c r="E164" s="129"/>
      <c r="F164" s="138"/>
      <c r="G164" s="138"/>
      <c r="H164" s="138"/>
      <c r="I164" s="138"/>
      <c r="J164" s="138"/>
      <c r="K164" s="130"/>
      <c r="L164" s="130"/>
      <c r="M164" s="130"/>
      <c r="N164" s="130"/>
      <c r="O164" s="130"/>
      <c r="P164" s="130"/>
      <c r="Q164" s="130"/>
      <c r="R164" s="130"/>
      <c r="S164" s="129"/>
      <c r="T164" s="129"/>
      <c r="U164" s="129"/>
      <c r="V164" s="130"/>
      <c r="W164" s="130"/>
      <c r="X164" s="130"/>
      <c r="Y164" s="130"/>
      <c r="Z164" s="152"/>
      <c r="AA164" s="130"/>
      <c r="AB164" s="130"/>
      <c r="AC164" s="130"/>
    </row>
    <row r="165" spans="1:29" ht="12.75" customHeight="1" x14ac:dyDescent="0.2">
      <c r="A165" s="129"/>
      <c r="B165" s="129"/>
      <c r="C165" s="143"/>
      <c r="D165" s="138"/>
      <c r="E165" s="129"/>
      <c r="F165" s="138"/>
      <c r="G165" s="138"/>
      <c r="H165" s="138"/>
      <c r="I165" s="138"/>
      <c r="J165" s="138"/>
      <c r="K165" s="130"/>
      <c r="L165" s="130"/>
      <c r="M165" s="130"/>
      <c r="N165" s="130"/>
      <c r="O165" s="130"/>
      <c r="P165" s="130"/>
      <c r="Q165" s="130"/>
      <c r="R165" s="130"/>
      <c r="S165" s="129"/>
      <c r="T165" s="129"/>
      <c r="U165" s="129"/>
      <c r="V165" s="130"/>
      <c r="W165" s="130"/>
      <c r="X165" s="130"/>
      <c r="Y165" s="130"/>
      <c r="Z165" s="152"/>
      <c r="AA165" s="130"/>
      <c r="AB165" s="130"/>
      <c r="AC165" s="130"/>
    </row>
    <row r="166" spans="1:29" ht="12.75" customHeight="1" x14ac:dyDescent="0.2">
      <c r="A166" s="129"/>
      <c r="B166" s="129"/>
      <c r="C166" s="143"/>
      <c r="D166" s="138"/>
      <c r="E166" s="129"/>
      <c r="F166" s="138"/>
      <c r="G166" s="138"/>
      <c r="H166" s="138"/>
      <c r="I166" s="138"/>
      <c r="J166" s="138"/>
      <c r="K166" s="130"/>
      <c r="L166" s="130"/>
      <c r="M166" s="130"/>
      <c r="N166" s="130"/>
      <c r="O166" s="130"/>
      <c r="P166" s="130"/>
      <c r="Q166" s="130"/>
      <c r="R166" s="130"/>
      <c r="S166" s="129"/>
      <c r="T166" s="129"/>
      <c r="U166" s="129"/>
      <c r="V166" s="130"/>
      <c r="W166" s="130"/>
      <c r="X166" s="130"/>
      <c r="Y166" s="130"/>
      <c r="Z166" s="152"/>
      <c r="AA166" s="130"/>
      <c r="AB166" s="130"/>
      <c r="AC166" s="130"/>
    </row>
    <row r="167" spans="1:29" ht="12.75" customHeight="1" x14ac:dyDescent="0.2">
      <c r="A167" s="129"/>
      <c r="B167" s="129"/>
      <c r="C167" s="143"/>
      <c r="D167" s="138"/>
      <c r="E167" s="129"/>
      <c r="F167" s="138"/>
      <c r="G167" s="138"/>
      <c r="H167" s="138"/>
      <c r="I167" s="138"/>
      <c r="J167" s="138"/>
      <c r="K167" s="130"/>
      <c r="L167" s="130"/>
      <c r="M167" s="130"/>
      <c r="N167" s="130"/>
      <c r="O167" s="130"/>
      <c r="P167" s="130"/>
      <c r="Q167" s="130"/>
      <c r="R167" s="130"/>
      <c r="S167" s="129"/>
      <c r="T167" s="129"/>
      <c r="U167" s="129"/>
      <c r="V167" s="130"/>
      <c r="W167" s="130"/>
      <c r="X167" s="130"/>
      <c r="Y167" s="130"/>
      <c r="Z167" s="152"/>
      <c r="AA167" s="130"/>
      <c r="AB167" s="130"/>
      <c r="AC167" s="130"/>
    </row>
    <row r="168" spans="1:29" ht="12.75" customHeight="1" x14ac:dyDescent="0.2">
      <c r="A168" s="129"/>
      <c r="B168" s="129"/>
      <c r="C168" s="143"/>
      <c r="D168" s="138"/>
      <c r="E168" s="129"/>
      <c r="F168" s="138"/>
      <c r="G168" s="138"/>
      <c r="H168" s="138"/>
      <c r="I168" s="138"/>
      <c r="J168" s="138"/>
      <c r="K168" s="130"/>
      <c r="L168" s="130"/>
      <c r="M168" s="130"/>
      <c r="N168" s="130"/>
      <c r="O168" s="130"/>
      <c r="P168" s="130"/>
      <c r="Q168" s="130"/>
      <c r="R168" s="130"/>
      <c r="S168" s="129"/>
      <c r="T168" s="129"/>
      <c r="U168" s="129"/>
      <c r="V168" s="130"/>
      <c r="W168" s="130"/>
      <c r="X168" s="130"/>
      <c r="Y168" s="130"/>
      <c r="Z168" s="152"/>
      <c r="AA168" s="130"/>
      <c r="AB168" s="130"/>
      <c r="AC168" s="130"/>
    </row>
    <row r="169" spans="1:29" ht="12.75" customHeight="1" x14ac:dyDescent="0.2">
      <c r="A169" s="129"/>
      <c r="B169" s="129"/>
      <c r="C169" s="143"/>
      <c r="D169" s="138"/>
      <c r="E169" s="129"/>
      <c r="F169" s="138"/>
      <c r="G169" s="138"/>
      <c r="H169" s="138"/>
      <c r="I169" s="138"/>
      <c r="J169" s="138"/>
      <c r="K169" s="130"/>
      <c r="L169" s="130"/>
      <c r="M169" s="130"/>
      <c r="N169" s="130"/>
      <c r="O169" s="130"/>
      <c r="P169" s="130"/>
      <c r="Q169" s="130"/>
      <c r="R169" s="130"/>
      <c r="S169" s="129"/>
      <c r="T169" s="129"/>
      <c r="U169" s="129"/>
      <c r="V169" s="130"/>
      <c r="W169" s="130"/>
      <c r="X169" s="130"/>
      <c r="Y169" s="130"/>
      <c r="Z169" s="152"/>
      <c r="AA169" s="130"/>
      <c r="AB169" s="130"/>
      <c r="AC169" s="130"/>
    </row>
    <row r="170" spans="1:29" ht="12.75" customHeight="1" x14ac:dyDescent="0.2">
      <c r="A170" s="129"/>
      <c r="B170" s="129"/>
      <c r="C170" s="143"/>
      <c r="D170" s="138"/>
      <c r="E170" s="129"/>
      <c r="F170" s="138"/>
      <c r="G170" s="138"/>
      <c r="H170" s="138"/>
      <c r="I170" s="138"/>
      <c r="J170" s="138"/>
      <c r="K170" s="130"/>
      <c r="L170" s="130"/>
      <c r="M170" s="130"/>
      <c r="N170" s="130"/>
      <c r="O170" s="130"/>
      <c r="P170" s="130"/>
      <c r="Q170" s="130"/>
      <c r="R170" s="130"/>
      <c r="S170" s="129"/>
      <c r="T170" s="129"/>
      <c r="U170" s="129"/>
      <c r="V170" s="130"/>
      <c r="W170" s="130"/>
      <c r="X170" s="130"/>
      <c r="Y170" s="130"/>
      <c r="Z170" s="152"/>
      <c r="AA170" s="130"/>
      <c r="AB170" s="130"/>
      <c r="AC170" s="130"/>
    </row>
    <row r="171" spans="1:29" ht="12.75" customHeight="1" x14ac:dyDescent="0.2">
      <c r="A171" s="129"/>
      <c r="B171" s="129"/>
      <c r="C171" s="143"/>
      <c r="D171" s="138"/>
      <c r="E171" s="129"/>
      <c r="F171" s="138"/>
      <c r="G171" s="138"/>
      <c r="H171" s="138"/>
      <c r="I171" s="138"/>
      <c r="J171" s="138"/>
      <c r="K171" s="130"/>
      <c r="L171" s="130"/>
      <c r="M171" s="130"/>
      <c r="N171" s="130"/>
      <c r="O171" s="130"/>
      <c r="P171" s="130"/>
      <c r="Q171" s="130"/>
      <c r="R171" s="130"/>
      <c r="S171" s="129"/>
      <c r="T171" s="129"/>
      <c r="U171" s="129"/>
      <c r="V171" s="130"/>
      <c r="W171" s="130"/>
      <c r="X171" s="130"/>
      <c r="Y171" s="130"/>
      <c r="Z171" s="152"/>
      <c r="AA171" s="130"/>
      <c r="AB171" s="130"/>
      <c r="AC171" s="130"/>
    </row>
    <row r="172" spans="1:29" ht="12.75" customHeight="1" x14ac:dyDescent="0.2">
      <c r="A172" s="129"/>
      <c r="B172" s="129"/>
      <c r="C172" s="143"/>
      <c r="D172" s="138"/>
      <c r="E172" s="129"/>
      <c r="F172" s="138"/>
      <c r="G172" s="138"/>
      <c r="H172" s="138"/>
      <c r="I172" s="138"/>
      <c r="J172" s="138"/>
      <c r="K172" s="130"/>
      <c r="L172" s="130"/>
      <c r="M172" s="130"/>
      <c r="N172" s="130"/>
      <c r="O172" s="130"/>
      <c r="P172" s="130"/>
      <c r="Q172" s="130"/>
      <c r="R172" s="130"/>
      <c r="S172" s="129"/>
      <c r="T172" s="129"/>
      <c r="U172" s="129"/>
      <c r="V172" s="130"/>
      <c r="W172" s="130"/>
      <c r="X172" s="130"/>
      <c r="Y172" s="130"/>
      <c r="Z172" s="152"/>
      <c r="AA172" s="130"/>
      <c r="AB172" s="130"/>
      <c r="AC172" s="130"/>
    </row>
    <row r="173" spans="1:29" ht="12.75" customHeight="1" x14ac:dyDescent="0.2">
      <c r="A173" s="129"/>
      <c r="B173" s="129"/>
      <c r="C173" s="143"/>
      <c r="D173" s="138"/>
      <c r="E173" s="129"/>
      <c r="F173" s="138"/>
      <c r="G173" s="138"/>
      <c r="H173" s="138"/>
      <c r="I173" s="138"/>
      <c r="J173" s="138"/>
      <c r="K173" s="130"/>
      <c r="L173" s="130"/>
      <c r="M173" s="130"/>
      <c r="N173" s="130"/>
      <c r="O173" s="130"/>
      <c r="P173" s="130"/>
      <c r="Q173" s="130"/>
      <c r="R173" s="130"/>
      <c r="S173" s="129"/>
      <c r="T173" s="129"/>
      <c r="U173" s="129"/>
      <c r="V173" s="130"/>
      <c r="W173" s="130"/>
      <c r="X173" s="130"/>
      <c r="Y173" s="130"/>
      <c r="Z173" s="152"/>
      <c r="AA173" s="130"/>
      <c r="AB173" s="130"/>
      <c r="AC173" s="130"/>
    </row>
    <row r="174" spans="1:29" ht="12.75" customHeight="1" x14ac:dyDescent="0.2">
      <c r="A174" s="129"/>
      <c r="B174" s="129"/>
      <c r="C174" s="143"/>
      <c r="D174" s="138"/>
      <c r="E174" s="129"/>
      <c r="F174" s="138"/>
      <c r="G174" s="138"/>
      <c r="H174" s="138"/>
      <c r="I174" s="138"/>
      <c r="J174" s="138"/>
      <c r="K174" s="130"/>
      <c r="L174" s="130"/>
      <c r="M174" s="130"/>
      <c r="N174" s="130"/>
      <c r="O174" s="130"/>
      <c r="P174" s="130"/>
      <c r="Q174" s="130"/>
      <c r="R174" s="130"/>
      <c r="S174" s="129"/>
      <c r="T174" s="129"/>
      <c r="U174" s="129"/>
      <c r="V174" s="130"/>
      <c r="W174" s="130"/>
      <c r="X174" s="130"/>
      <c r="Y174" s="130"/>
      <c r="Z174" s="152"/>
      <c r="AA174" s="130"/>
      <c r="AB174" s="130"/>
      <c r="AC174" s="130"/>
    </row>
    <row r="175" spans="1:29" ht="12.75" customHeight="1" x14ac:dyDescent="0.2">
      <c r="A175" s="129"/>
      <c r="B175" s="129"/>
      <c r="C175" s="143"/>
      <c r="D175" s="138"/>
      <c r="E175" s="129"/>
      <c r="F175" s="138"/>
      <c r="G175" s="138"/>
      <c r="H175" s="138"/>
      <c r="I175" s="138"/>
      <c r="J175" s="138"/>
      <c r="K175" s="130"/>
      <c r="L175" s="130"/>
      <c r="M175" s="130"/>
      <c r="N175" s="130"/>
      <c r="O175" s="130"/>
      <c r="P175" s="130"/>
      <c r="Q175" s="130"/>
      <c r="R175" s="130"/>
      <c r="S175" s="129"/>
      <c r="T175" s="129"/>
      <c r="U175" s="129"/>
      <c r="V175" s="130"/>
      <c r="W175" s="130"/>
      <c r="X175" s="130"/>
      <c r="Y175" s="130"/>
      <c r="Z175" s="152"/>
      <c r="AA175" s="130"/>
      <c r="AB175" s="130"/>
      <c r="AC175" s="130"/>
    </row>
    <row r="176" spans="1:29" ht="12.75" customHeight="1" x14ac:dyDescent="0.2">
      <c r="A176" s="129"/>
      <c r="B176" s="129"/>
      <c r="C176" s="143"/>
      <c r="D176" s="138"/>
      <c r="E176" s="129"/>
      <c r="F176" s="138"/>
      <c r="G176" s="138"/>
      <c r="H176" s="138"/>
      <c r="I176" s="138"/>
      <c r="J176" s="138"/>
      <c r="K176" s="130"/>
      <c r="L176" s="130"/>
      <c r="M176" s="130"/>
      <c r="N176" s="130"/>
      <c r="O176" s="130"/>
      <c r="P176" s="130"/>
      <c r="Q176" s="130"/>
      <c r="R176" s="130"/>
      <c r="S176" s="129"/>
      <c r="T176" s="129"/>
      <c r="U176" s="129"/>
      <c r="V176" s="130"/>
      <c r="W176" s="130"/>
      <c r="X176" s="130"/>
      <c r="Y176" s="130"/>
      <c r="Z176" s="152"/>
      <c r="AA176" s="130"/>
      <c r="AB176" s="130"/>
      <c r="AC176" s="130"/>
    </row>
    <row r="177" spans="1:29" ht="12.75" customHeight="1" x14ac:dyDescent="0.2">
      <c r="A177" s="129"/>
      <c r="B177" s="129"/>
      <c r="C177" s="143"/>
      <c r="D177" s="138"/>
      <c r="E177" s="129"/>
      <c r="F177" s="138"/>
      <c r="G177" s="138"/>
      <c r="H177" s="138"/>
      <c r="I177" s="138"/>
      <c r="J177" s="138"/>
      <c r="K177" s="130"/>
      <c r="L177" s="130"/>
      <c r="M177" s="130"/>
      <c r="N177" s="130"/>
      <c r="O177" s="130"/>
      <c r="P177" s="130"/>
      <c r="Q177" s="130"/>
      <c r="R177" s="130"/>
      <c r="S177" s="129"/>
      <c r="T177" s="129"/>
      <c r="U177" s="129"/>
      <c r="V177" s="130"/>
      <c r="W177" s="130"/>
      <c r="X177" s="130"/>
      <c r="Y177" s="130"/>
      <c r="Z177" s="152"/>
      <c r="AA177" s="130"/>
      <c r="AB177" s="130"/>
      <c r="AC177" s="130"/>
    </row>
    <row r="178" spans="1:29" ht="12.75" customHeight="1" x14ac:dyDescent="0.2">
      <c r="A178" s="129"/>
      <c r="B178" s="129"/>
      <c r="C178" s="143"/>
      <c r="D178" s="138"/>
      <c r="E178" s="129"/>
      <c r="F178" s="138"/>
      <c r="G178" s="138"/>
      <c r="H178" s="138"/>
      <c r="I178" s="138"/>
      <c r="J178" s="138"/>
      <c r="K178" s="130"/>
      <c r="L178" s="130"/>
      <c r="M178" s="130"/>
      <c r="N178" s="130"/>
      <c r="O178" s="130"/>
      <c r="P178" s="130"/>
      <c r="Q178" s="130"/>
      <c r="R178" s="130"/>
      <c r="S178" s="129"/>
      <c r="T178" s="129"/>
      <c r="U178" s="129"/>
      <c r="V178" s="130"/>
      <c r="W178" s="130"/>
      <c r="X178" s="130"/>
      <c r="Y178" s="130"/>
      <c r="Z178" s="152"/>
      <c r="AA178" s="130"/>
      <c r="AB178" s="130"/>
      <c r="AC178" s="130"/>
    </row>
    <row r="179" spans="1:29" ht="12.75" customHeight="1" x14ac:dyDescent="0.2">
      <c r="A179" s="129"/>
      <c r="B179" s="129"/>
      <c r="C179" s="143"/>
      <c r="D179" s="138"/>
      <c r="E179" s="129"/>
      <c r="F179" s="138"/>
      <c r="G179" s="138"/>
      <c r="H179" s="138"/>
      <c r="I179" s="138"/>
      <c r="J179" s="138"/>
      <c r="K179" s="130"/>
      <c r="L179" s="130"/>
      <c r="M179" s="130"/>
      <c r="N179" s="130"/>
      <c r="O179" s="130"/>
      <c r="P179" s="130"/>
      <c r="Q179" s="130"/>
      <c r="R179" s="130"/>
      <c r="S179" s="129"/>
      <c r="T179" s="129"/>
      <c r="U179" s="129"/>
      <c r="V179" s="130"/>
      <c r="W179" s="130"/>
      <c r="X179" s="130"/>
      <c r="Y179" s="130"/>
      <c r="Z179" s="152"/>
      <c r="AA179" s="130"/>
      <c r="AB179" s="130"/>
      <c r="AC179" s="130"/>
    </row>
    <row r="180" spans="1:29" ht="12.75" customHeight="1" x14ac:dyDescent="0.2">
      <c r="A180" s="129"/>
      <c r="B180" s="129"/>
      <c r="C180" s="143"/>
      <c r="D180" s="138"/>
      <c r="E180" s="129"/>
      <c r="F180" s="138"/>
      <c r="G180" s="138"/>
      <c r="H180" s="138"/>
      <c r="I180" s="138"/>
      <c r="J180" s="138"/>
      <c r="K180" s="130"/>
      <c r="L180" s="130"/>
      <c r="M180" s="130"/>
      <c r="N180" s="130"/>
      <c r="O180" s="130"/>
      <c r="P180" s="130"/>
      <c r="Q180" s="130"/>
      <c r="R180" s="130"/>
      <c r="S180" s="129"/>
      <c r="T180" s="129"/>
      <c r="U180" s="129"/>
      <c r="V180" s="130"/>
      <c r="W180" s="130"/>
      <c r="X180" s="130"/>
      <c r="Y180" s="130"/>
      <c r="Z180" s="152"/>
      <c r="AA180" s="130"/>
      <c r="AB180" s="130"/>
      <c r="AC180" s="130"/>
    </row>
    <row r="181" spans="1:29" ht="12.75" customHeight="1" x14ac:dyDescent="0.2">
      <c r="A181" s="129"/>
      <c r="B181" s="129"/>
      <c r="C181" s="143"/>
      <c r="D181" s="138"/>
      <c r="E181" s="129"/>
      <c r="F181" s="138"/>
      <c r="G181" s="138"/>
      <c r="H181" s="138"/>
      <c r="I181" s="138"/>
      <c r="J181" s="138"/>
      <c r="K181" s="130"/>
      <c r="L181" s="130"/>
      <c r="M181" s="130"/>
      <c r="N181" s="130"/>
      <c r="O181" s="130"/>
      <c r="P181" s="130"/>
      <c r="Q181" s="130"/>
      <c r="R181" s="130"/>
      <c r="S181" s="129"/>
      <c r="T181" s="129"/>
      <c r="U181" s="129"/>
      <c r="V181" s="130"/>
      <c r="W181" s="130"/>
      <c r="X181" s="130"/>
      <c r="Y181" s="130"/>
      <c r="Z181" s="152"/>
      <c r="AA181" s="130"/>
      <c r="AB181" s="130"/>
      <c r="AC181" s="130"/>
    </row>
    <row r="182" spans="1:29" ht="12.75" customHeight="1" x14ac:dyDescent="0.2">
      <c r="A182" s="129"/>
      <c r="B182" s="129"/>
      <c r="C182" s="143"/>
      <c r="D182" s="138"/>
      <c r="E182" s="129"/>
      <c r="F182" s="138"/>
      <c r="G182" s="138"/>
      <c r="H182" s="138"/>
      <c r="I182" s="138"/>
      <c r="J182" s="138"/>
      <c r="K182" s="130"/>
      <c r="L182" s="130"/>
      <c r="M182" s="130"/>
      <c r="N182" s="130"/>
      <c r="O182" s="130"/>
      <c r="P182" s="130"/>
      <c r="Q182" s="130"/>
      <c r="R182" s="130"/>
      <c r="S182" s="129"/>
      <c r="T182" s="129"/>
      <c r="U182" s="129"/>
      <c r="V182" s="130"/>
      <c r="W182" s="130"/>
      <c r="X182" s="130"/>
      <c r="Y182" s="130"/>
      <c r="Z182" s="152"/>
      <c r="AA182" s="130"/>
      <c r="AB182" s="130"/>
      <c r="AC182" s="130"/>
    </row>
    <row r="183" spans="1:29" ht="12.75" customHeight="1" x14ac:dyDescent="0.2">
      <c r="A183" s="129"/>
      <c r="B183" s="129"/>
      <c r="C183" s="143"/>
      <c r="D183" s="138"/>
      <c r="E183" s="129"/>
      <c r="F183" s="138"/>
      <c r="G183" s="138"/>
      <c r="H183" s="138"/>
      <c r="I183" s="138"/>
      <c r="J183" s="138"/>
      <c r="K183" s="130"/>
      <c r="L183" s="130"/>
      <c r="M183" s="130"/>
      <c r="N183" s="130"/>
      <c r="O183" s="130"/>
      <c r="P183" s="130"/>
      <c r="Q183" s="130"/>
      <c r="R183" s="130"/>
      <c r="S183" s="129"/>
      <c r="T183" s="129"/>
      <c r="U183" s="129"/>
      <c r="V183" s="130"/>
      <c r="W183" s="130"/>
      <c r="X183" s="130"/>
      <c r="Y183" s="130"/>
      <c r="Z183" s="152"/>
      <c r="AA183" s="130"/>
      <c r="AB183" s="130"/>
      <c r="AC183" s="130"/>
    </row>
    <row r="184" spans="1:29" ht="12.75" customHeight="1" x14ac:dyDescent="0.2">
      <c r="A184" s="129"/>
      <c r="B184" s="129"/>
      <c r="C184" s="143"/>
      <c r="D184" s="138"/>
      <c r="E184" s="129"/>
      <c r="F184" s="138"/>
      <c r="G184" s="138"/>
      <c r="H184" s="138"/>
      <c r="I184" s="138"/>
      <c r="J184" s="138"/>
      <c r="K184" s="130"/>
      <c r="L184" s="130"/>
      <c r="M184" s="130"/>
      <c r="N184" s="130"/>
      <c r="O184" s="130"/>
      <c r="P184" s="130"/>
      <c r="Q184" s="130"/>
      <c r="R184" s="130"/>
      <c r="S184" s="129"/>
      <c r="T184" s="129"/>
      <c r="U184" s="129"/>
      <c r="V184" s="130"/>
      <c r="W184" s="130"/>
      <c r="X184" s="130"/>
      <c r="Y184" s="130"/>
      <c r="Z184" s="152"/>
      <c r="AA184" s="130"/>
      <c r="AB184" s="130"/>
      <c r="AC184" s="130"/>
    </row>
    <row r="185" spans="1:29" ht="12.75" customHeight="1" x14ac:dyDescent="0.2">
      <c r="A185" s="129"/>
      <c r="B185" s="129"/>
      <c r="C185" s="143"/>
      <c r="D185" s="138"/>
      <c r="E185" s="129"/>
      <c r="F185" s="138"/>
      <c r="G185" s="138"/>
      <c r="H185" s="138"/>
      <c r="I185" s="138"/>
      <c r="J185" s="138"/>
      <c r="K185" s="130"/>
      <c r="L185" s="130"/>
      <c r="M185" s="130"/>
      <c r="N185" s="130"/>
      <c r="O185" s="130"/>
      <c r="P185" s="130"/>
      <c r="Q185" s="130"/>
      <c r="R185" s="130"/>
      <c r="S185" s="129"/>
      <c r="T185" s="129"/>
      <c r="U185" s="129"/>
      <c r="V185" s="130"/>
      <c r="W185" s="130"/>
      <c r="X185" s="130"/>
      <c r="Y185" s="130"/>
      <c r="Z185" s="152"/>
      <c r="AA185" s="130"/>
      <c r="AB185" s="130"/>
      <c r="AC185" s="130"/>
    </row>
    <row r="186" spans="1:29" ht="12.75" customHeight="1" x14ac:dyDescent="0.2">
      <c r="A186" s="129"/>
      <c r="B186" s="129"/>
      <c r="C186" s="143"/>
      <c r="D186" s="138"/>
      <c r="E186" s="129"/>
      <c r="F186" s="138"/>
      <c r="G186" s="138"/>
      <c r="H186" s="138"/>
      <c r="I186" s="138"/>
      <c r="J186" s="138"/>
      <c r="K186" s="130"/>
      <c r="L186" s="130"/>
      <c r="M186" s="130"/>
      <c r="N186" s="130"/>
      <c r="O186" s="130"/>
      <c r="P186" s="130"/>
      <c r="Q186" s="130"/>
      <c r="R186" s="130"/>
      <c r="S186" s="129"/>
      <c r="T186" s="129"/>
      <c r="U186" s="129"/>
      <c r="V186" s="130"/>
      <c r="W186" s="130"/>
      <c r="X186" s="130"/>
      <c r="Y186" s="130"/>
      <c r="Z186" s="152"/>
      <c r="AA186" s="130"/>
      <c r="AB186" s="130"/>
      <c r="AC186" s="130"/>
    </row>
    <row r="187" spans="1:29" ht="12.75" customHeight="1" x14ac:dyDescent="0.2">
      <c r="A187" s="129"/>
      <c r="B187" s="129"/>
      <c r="C187" s="143"/>
      <c r="D187" s="138"/>
      <c r="E187" s="129"/>
      <c r="F187" s="138"/>
      <c r="G187" s="138"/>
      <c r="H187" s="138"/>
      <c r="I187" s="138"/>
      <c r="J187" s="138"/>
      <c r="K187" s="130"/>
      <c r="L187" s="130"/>
      <c r="M187" s="130"/>
      <c r="N187" s="130"/>
      <c r="O187" s="130"/>
      <c r="P187" s="130"/>
      <c r="Q187" s="130"/>
      <c r="R187" s="130"/>
      <c r="S187" s="129"/>
      <c r="T187" s="129"/>
      <c r="U187" s="129"/>
      <c r="V187" s="130"/>
      <c r="W187" s="130"/>
      <c r="X187" s="130"/>
      <c r="Y187" s="130"/>
      <c r="Z187" s="152"/>
      <c r="AA187" s="130"/>
      <c r="AB187" s="130"/>
      <c r="AC187" s="130"/>
    </row>
    <row r="188" spans="1:29" ht="12.75" customHeight="1" x14ac:dyDescent="0.2">
      <c r="A188" s="129"/>
      <c r="B188" s="129"/>
      <c r="C188" s="143"/>
      <c r="D188" s="138"/>
      <c r="E188" s="129"/>
      <c r="F188" s="138"/>
      <c r="G188" s="138"/>
      <c r="H188" s="138"/>
      <c r="I188" s="138"/>
      <c r="J188" s="138"/>
      <c r="K188" s="130"/>
      <c r="L188" s="130"/>
      <c r="M188" s="130"/>
      <c r="N188" s="130"/>
      <c r="O188" s="130"/>
      <c r="P188" s="130"/>
      <c r="Q188" s="130"/>
      <c r="R188" s="130"/>
      <c r="S188" s="129"/>
      <c r="T188" s="129"/>
      <c r="U188" s="129"/>
      <c r="V188" s="130"/>
      <c r="W188" s="130"/>
      <c r="X188" s="130"/>
      <c r="Y188" s="130"/>
      <c r="Z188" s="152"/>
      <c r="AA188" s="130"/>
      <c r="AB188" s="130"/>
      <c r="AC188" s="130"/>
    </row>
    <row r="189" spans="1:29" ht="12.75" customHeight="1" x14ac:dyDescent="0.2">
      <c r="A189" s="129"/>
      <c r="B189" s="129"/>
      <c r="C189" s="143"/>
      <c r="D189" s="138"/>
      <c r="E189" s="129"/>
      <c r="F189" s="138"/>
      <c r="G189" s="138"/>
      <c r="H189" s="138"/>
      <c r="I189" s="138"/>
      <c r="J189" s="138"/>
      <c r="K189" s="130"/>
      <c r="L189" s="130"/>
      <c r="M189" s="130"/>
      <c r="N189" s="130"/>
      <c r="O189" s="130"/>
      <c r="P189" s="130"/>
      <c r="Q189" s="130"/>
      <c r="R189" s="130"/>
      <c r="S189" s="129"/>
      <c r="T189" s="129"/>
      <c r="U189" s="129"/>
      <c r="V189" s="130"/>
      <c r="W189" s="130"/>
      <c r="X189" s="130"/>
      <c r="Y189" s="130"/>
      <c r="Z189" s="152"/>
      <c r="AA189" s="130"/>
      <c r="AB189" s="130"/>
      <c r="AC189" s="130"/>
    </row>
    <row r="190" spans="1:29" ht="12.75" customHeight="1" x14ac:dyDescent="0.2">
      <c r="A190" s="129"/>
      <c r="B190" s="129"/>
      <c r="C190" s="143"/>
      <c r="D190" s="138"/>
      <c r="E190" s="129"/>
      <c r="F190" s="138"/>
      <c r="G190" s="138"/>
      <c r="H190" s="138"/>
      <c r="I190" s="138"/>
      <c r="J190" s="138"/>
      <c r="K190" s="130"/>
      <c r="L190" s="130"/>
      <c r="M190" s="130"/>
      <c r="N190" s="130"/>
      <c r="O190" s="130"/>
      <c r="P190" s="130"/>
      <c r="Q190" s="130"/>
      <c r="R190" s="130"/>
      <c r="S190" s="129"/>
      <c r="T190" s="129"/>
      <c r="U190" s="129"/>
      <c r="V190" s="130"/>
      <c r="W190" s="130"/>
      <c r="X190" s="130"/>
      <c r="Y190" s="130"/>
      <c r="Z190" s="152"/>
      <c r="AA190" s="130"/>
      <c r="AB190" s="130"/>
      <c r="AC190" s="130"/>
    </row>
    <row r="191" spans="1:29" ht="12.75" customHeight="1" x14ac:dyDescent="0.2">
      <c r="A191" s="129"/>
      <c r="B191" s="129"/>
      <c r="C191" s="143"/>
      <c r="D191" s="138"/>
      <c r="E191" s="129"/>
      <c r="F191" s="138"/>
      <c r="G191" s="138"/>
      <c r="H191" s="138"/>
      <c r="I191" s="138"/>
      <c r="J191" s="138"/>
      <c r="K191" s="130"/>
      <c r="L191" s="130"/>
      <c r="M191" s="130"/>
      <c r="N191" s="130"/>
      <c r="O191" s="130"/>
      <c r="P191" s="130"/>
      <c r="Q191" s="130"/>
      <c r="R191" s="130"/>
      <c r="S191" s="129"/>
      <c r="T191" s="129"/>
      <c r="U191" s="129"/>
      <c r="V191" s="130"/>
      <c r="W191" s="130"/>
      <c r="X191" s="130"/>
      <c r="Y191" s="130"/>
      <c r="Z191" s="152"/>
      <c r="AA191" s="130"/>
      <c r="AB191" s="130"/>
      <c r="AC191" s="130"/>
    </row>
    <row r="192" spans="1:29" ht="12.75" customHeight="1" x14ac:dyDescent="0.2">
      <c r="A192" s="129"/>
      <c r="B192" s="129"/>
      <c r="C192" s="143"/>
      <c r="D192" s="138"/>
      <c r="E192" s="129"/>
      <c r="F192" s="138"/>
      <c r="G192" s="138"/>
      <c r="H192" s="138"/>
      <c r="I192" s="138"/>
      <c r="J192" s="138"/>
      <c r="K192" s="130"/>
      <c r="L192" s="130"/>
      <c r="M192" s="130"/>
      <c r="N192" s="130"/>
      <c r="O192" s="130"/>
      <c r="P192" s="130"/>
      <c r="Q192" s="130"/>
      <c r="R192" s="130"/>
      <c r="S192" s="129"/>
      <c r="T192" s="129"/>
      <c r="U192" s="129"/>
      <c r="V192" s="130"/>
      <c r="W192" s="130"/>
      <c r="X192" s="130"/>
      <c r="Y192" s="130"/>
      <c r="Z192" s="152"/>
      <c r="AA192" s="130"/>
      <c r="AB192" s="130"/>
      <c r="AC192" s="130"/>
    </row>
    <row r="193" spans="1:29" ht="12.75" customHeight="1" x14ac:dyDescent="0.2">
      <c r="A193" s="129"/>
      <c r="B193" s="129"/>
      <c r="C193" s="143"/>
      <c r="D193" s="138"/>
      <c r="E193" s="129"/>
      <c r="F193" s="138"/>
      <c r="G193" s="138"/>
      <c r="H193" s="138"/>
      <c r="I193" s="138"/>
      <c r="J193" s="138"/>
      <c r="K193" s="130"/>
      <c r="L193" s="130"/>
      <c r="M193" s="130"/>
      <c r="N193" s="130"/>
      <c r="O193" s="130"/>
      <c r="P193" s="130"/>
      <c r="Q193" s="130"/>
      <c r="R193" s="130"/>
      <c r="S193" s="129"/>
      <c r="T193" s="129"/>
      <c r="U193" s="129"/>
      <c r="V193" s="130"/>
      <c r="W193" s="130"/>
      <c r="X193" s="130"/>
      <c r="Y193" s="130"/>
      <c r="Z193" s="152"/>
      <c r="AA193" s="130"/>
      <c r="AB193" s="130"/>
      <c r="AC193" s="130"/>
    </row>
    <row r="194" spans="1:29" ht="12.75" customHeight="1" x14ac:dyDescent="0.2">
      <c r="A194" s="129"/>
      <c r="B194" s="129"/>
      <c r="C194" s="143"/>
      <c r="D194" s="138"/>
      <c r="E194" s="129"/>
      <c r="F194" s="138"/>
      <c r="G194" s="138"/>
      <c r="H194" s="138"/>
      <c r="I194" s="138"/>
      <c r="J194" s="138"/>
      <c r="K194" s="130"/>
      <c r="L194" s="130"/>
      <c r="M194" s="130"/>
      <c r="N194" s="130"/>
      <c r="O194" s="130"/>
      <c r="P194" s="130"/>
      <c r="Q194" s="130"/>
      <c r="R194" s="130"/>
      <c r="S194" s="129"/>
      <c r="T194" s="129"/>
      <c r="U194" s="129"/>
      <c r="V194" s="130"/>
      <c r="W194" s="130"/>
      <c r="X194" s="130"/>
      <c r="Y194" s="130"/>
      <c r="Z194" s="152"/>
      <c r="AA194" s="130"/>
      <c r="AB194" s="130"/>
      <c r="AC194" s="130"/>
    </row>
    <row r="195" spans="1:29" ht="12.75" customHeight="1" x14ac:dyDescent="0.2">
      <c r="A195" s="129"/>
      <c r="B195" s="129"/>
      <c r="C195" s="143"/>
      <c r="D195" s="138"/>
      <c r="E195" s="129"/>
      <c r="F195" s="138"/>
      <c r="G195" s="138"/>
      <c r="H195" s="138"/>
      <c r="I195" s="138"/>
      <c r="J195" s="138"/>
      <c r="K195" s="130"/>
      <c r="L195" s="130"/>
      <c r="M195" s="130"/>
      <c r="N195" s="130"/>
      <c r="O195" s="130"/>
      <c r="P195" s="130"/>
      <c r="Q195" s="130"/>
      <c r="R195" s="130"/>
      <c r="S195" s="129"/>
      <c r="T195" s="129"/>
      <c r="U195" s="129"/>
      <c r="V195" s="130"/>
      <c r="W195" s="130"/>
      <c r="X195" s="130"/>
      <c r="Y195" s="130"/>
      <c r="Z195" s="152"/>
      <c r="AA195" s="130"/>
      <c r="AB195" s="130"/>
      <c r="AC195" s="130"/>
    </row>
    <row r="196" spans="1:29" ht="12.75" customHeight="1" x14ac:dyDescent="0.2">
      <c r="A196" s="129"/>
      <c r="B196" s="129"/>
      <c r="C196" s="143"/>
      <c r="D196" s="138"/>
      <c r="E196" s="129"/>
      <c r="F196" s="138"/>
      <c r="G196" s="138"/>
      <c r="H196" s="138"/>
      <c r="I196" s="138"/>
      <c r="J196" s="138"/>
      <c r="K196" s="130"/>
      <c r="L196" s="130"/>
      <c r="M196" s="130"/>
      <c r="N196" s="130"/>
      <c r="O196" s="130"/>
      <c r="P196" s="130"/>
      <c r="Q196" s="130"/>
      <c r="R196" s="130"/>
      <c r="S196" s="129"/>
      <c r="T196" s="129"/>
      <c r="U196" s="129"/>
      <c r="V196" s="130"/>
      <c r="W196" s="130"/>
      <c r="X196" s="130"/>
      <c r="Y196" s="130"/>
      <c r="Z196" s="152"/>
      <c r="AA196" s="130"/>
      <c r="AB196" s="130"/>
      <c r="AC196" s="130"/>
    </row>
    <row r="197" spans="1:29" ht="12.75" customHeight="1" x14ac:dyDescent="0.2">
      <c r="A197" s="129"/>
      <c r="B197" s="129"/>
      <c r="C197" s="143"/>
      <c r="D197" s="138"/>
      <c r="E197" s="129"/>
      <c r="F197" s="138"/>
      <c r="G197" s="138"/>
      <c r="H197" s="138"/>
      <c r="I197" s="138"/>
      <c r="J197" s="138"/>
      <c r="K197" s="130"/>
      <c r="L197" s="130"/>
      <c r="M197" s="130"/>
      <c r="N197" s="130"/>
      <c r="O197" s="130"/>
      <c r="P197" s="130"/>
      <c r="Q197" s="130"/>
      <c r="R197" s="130"/>
      <c r="S197" s="129"/>
      <c r="T197" s="129"/>
      <c r="U197" s="129"/>
      <c r="V197" s="130"/>
      <c r="W197" s="130"/>
      <c r="X197" s="130"/>
      <c r="Y197" s="130"/>
      <c r="Z197" s="152"/>
      <c r="AA197" s="130"/>
      <c r="AB197" s="130"/>
      <c r="AC197" s="130"/>
    </row>
    <row r="198" spans="1:29" ht="12.75" customHeight="1" x14ac:dyDescent="0.2">
      <c r="A198" s="129"/>
      <c r="B198" s="129"/>
      <c r="C198" s="143"/>
      <c r="D198" s="138"/>
      <c r="E198" s="129"/>
      <c r="F198" s="138"/>
      <c r="G198" s="138"/>
      <c r="H198" s="138"/>
      <c r="I198" s="138"/>
      <c r="J198" s="138"/>
      <c r="K198" s="130"/>
      <c r="L198" s="130"/>
      <c r="M198" s="130"/>
      <c r="N198" s="130"/>
      <c r="O198" s="130"/>
      <c r="P198" s="130"/>
      <c r="Q198" s="130"/>
      <c r="R198" s="130"/>
      <c r="S198" s="129"/>
      <c r="T198" s="129"/>
      <c r="U198" s="129"/>
      <c r="V198" s="130"/>
      <c r="W198" s="130"/>
      <c r="X198" s="130"/>
      <c r="Y198" s="130"/>
      <c r="Z198" s="152"/>
      <c r="AA198" s="130"/>
      <c r="AB198" s="130"/>
      <c r="AC198" s="130"/>
    </row>
    <row r="199" spans="1:29" ht="12.75" customHeight="1" x14ac:dyDescent="0.2">
      <c r="A199" s="129"/>
      <c r="B199" s="129"/>
      <c r="C199" s="143"/>
      <c r="D199" s="138"/>
      <c r="E199" s="129"/>
      <c r="F199" s="138"/>
      <c r="G199" s="138"/>
      <c r="H199" s="138"/>
      <c r="I199" s="138"/>
      <c r="J199" s="138"/>
      <c r="K199" s="130"/>
      <c r="L199" s="130"/>
      <c r="M199" s="130"/>
      <c r="N199" s="130"/>
      <c r="O199" s="130"/>
      <c r="P199" s="130"/>
      <c r="Q199" s="130"/>
      <c r="R199" s="130"/>
      <c r="S199" s="129"/>
      <c r="T199" s="129"/>
      <c r="U199" s="129"/>
      <c r="V199" s="130"/>
      <c r="W199" s="130"/>
      <c r="X199" s="130"/>
      <c r="Y199" s="130"/>
      <c r="Z199" s="152"/>
      <c r="AA199" s="130"/>
      <c r="AB199" s="130"/>
      <c r="AC199" s="130"/>
    </row>
    <row r="200" spans="1:29" ht="12.75" customHeight="1" x14ac:dyDescent="0.2">
      <c r="A200" s="129"/>
      <c r="B200" s="129"/>
      <c r="C200" s="143"/>
      <c r="D200" s="138"/>
      <c r="E200" s="129"/>
      <c r="F200" s="138"/>
      <c r="G200" s="138"/>
      <c r="H200" s="138"/>
      <c r="I200" s="138"/>
      <c r="J200" s="138"/>
      <c r="K200" s="130"/>
      <c r="L200" s="130"/>
      <c r="M200" s="130"/>
      <c r="N200" s="130"/>
      <c r="O200" s="130"/>
      <c r="P200" s="130"/>
      <c r="Q200" s="130"/>
      <c r="R200" s="130"/>
      <c r="S200" s="129"/>
      <c r="T200" s="129"/>
      <c r="U200" s="129"/>
      <c r="V200" s="130"/>
      <c r="W200" s="130"/>
      <c r="X200" s="130"/>
      <c r="Y200" s="130"/>
      <c r="Z200" s="152"/>
      <c r="AA200" s="130"/>
      <c r="AB200" s="130"/>
      <c r="AC200" s="130"/>
    </row>
    <row r="201" spans="1:29" ht="12.75" customHeight="1" x14ac:dyDescent="0.2">
      <c r="A201" s="129"/>
      <c r="B201" s="129"/>
      <c r="C201" s="143"/>
      <c r="D201" s="138"/>
      <c r="E201" s="129"/>
      <c r="F201" s="138"/>
      <c r="G201" s="138"/>
      <c r="H201" s="138"/>
      <c r="I201" s="138"/>
      <c r="J201" s="138"/>
      <c r="K201" s="130"/>
      <c r="L201" s="130"/>
      <c r="M201" s="130"/>
      <c r="N201" s="130"/>
      <c r="O201" s="130"/>
      <c r="P201" s="130"/>
      <c r="Q201" s="130"/>
      <c r="R201" s="130"/>
      <c r="S201" s="129"/>
      <c r="T201" s="129"/>
      <c r="U201" s="129"/>
      <c r="V201" s="130"/>
      <c r="W201" s="130"/>
      <c r="X201" s="130"/>
      <c r="Y201" s="130"/>
      <c r="Z201" s="152"/>
      <c r="AA201" s="130"/>
      <c r="AB201" s="130"/>
      <c r="AC201" s="130"/>
    </row>
    <row r="202" spans="1:29" ht="12.75" customHeight="1" x14ac:dyDescent="0.2">
      <c r="A202" s="129"/>
      <c r="B202" s="129"/>
      <c r="C202" s="143"/>
      <c r="D202" s="138"/>
      <c r="E202" s="129"/>
      <c r="F202" s="138"/>
      <c r="G202" s="138"/>
      <c r="H202" s="138"/>
      <c r="I202" s="138"/>
      <c r="J202" s="138"/>
      <c r="K202" s="130"/>
      <c r="L202" s="130"/>
      <c r="M202" s="130"/>
      <c r="N202" s="130"/>
      <c r="O202" s="130"/>
      <c r="P202" s="130"/>
      <c r="Q202" s="130"/>
      <c r="R202" s="130"/>
      <c r="S202" s="129"/>
      <c r="T202" s="129"/>
      <c r="U202" s="129"/>
      <c r="V202" s="130"/>
      <c r="W202" s="130"/>
      <c r="X202" s="130"/>
      <c r="Y202" s="130"/>
      <c r="Z202" s="152"/>
      <c r="AA202" s="130"/>
      <c r="AB202" s="130"/>
      <c r="AC202" s="130"/>
    </row>
    <row r="203" spans="1:29" ht="12.75" customHeight="1" x14ac:dyDescent="0.2">
      <c r="A203" s="129"/>
      <c r="B203" s="129"/>
      <c r="C203" s="143"/>
      <c r="D203" s="138"/>
      <c r="E203" s="129"/>
      <c r="F203" s="138"/>
      <c r="G203" s="138"/>
      <c r="H203" s="138"/>
      <c r="I203" s="138"/>
      <c r="J203" s="138"/>
      <c r="K203" s="130"/>
      <c r="L203" s="130"/>
      <c r="M203" s="130"/>
      <c r="N203" s="130"/>
      <c r="O203" s="130"/>
      <c r="P203" s="130"/>
      <c r="Q203" s="130"/>
      <c r="R203" s="130"/>
      <c r="S203" s="129"/>
      <c r="T203" s="129"/>
      <c r="U203" s="129"/>
      <c r="V203" s="130"/>
      <c r="W203" s="130"/>
      <c r="X203" s="130"/>
      <c r="Y203" s="130"/>
      <c r="Z203" s="152"/>
      <c r="AA203" s="130"/>
      <c r="AB203" s="130"/>
      <c r="AC203" s="130"/>
    </row>
    <row r="204" spans="1:29" ht="12.75" customHeight="1" x14ac:dyDescent="0.2">
      <c r="A204" s="129"/>
      <c r="B204" s="129"/>
      <c r="C204" s="143"/>
      <c r="D204" s="138"/>
      <c r="E204" s="129"/>
      <c r="F204" s="138"/>
      <c r="G204" s="138"/>
      <c r="H204" s="138"/>
      <c r="I204" s="138"/>
      <c r="J204" s="138"/>
      <c r="K204" s="130"/>
      <c r="L204" s="130"/>
      <c r="M204" s="130"/>
      <c r="N204" s="130"/>
      <c r="O204" s="130"/>
      <c r="P204" s="130"/>
      <c r="Q204" s="130"/>
      <c r="R204" s="130"/>
      <c r="S204" s="129"/>
      <c r="T204" s="129"/>
      <c r="U204" s="129"/>
      <c r="V204" s="130"/>
      <c r="W204" s="130"/>
      <c r="X204" s="130"/>
      <c r="Y204" s="130"/>
      <c r="Z204" s="152"/>
      <c r="AA204" s="130"/>
      <c r="AB204" s="130"/>
      <c r="AC204" s="130"/>
    </row>
    <row r="205" spans="1:29" ht="12.75" customHeight="1" x14ac:dyDescent="0.2">
      <c r="A205" s="129"/>
      <c r="B205" s="129"/>
      <c r="C205" s="143"/>
      <c r="D205" s="138"/>
      <c r="E205" s="129"/>
      <c r="F205" s="138"/>
      <c r="G205" s="138"/>
      <c r="H205" s="138"/>
      <c r="I205" s="138"/>
      <c r="J205" s="138"/>
      <c r="K205" s="130"/>
      <c r="L205" s="130"/>
      <c r="M205" s="130"/>
      <c r="N205" s="130"/>
      <c r="O205" s="130"/>
      <c r="P205" s="130"/>
      <c r="Q205" s="130"/>
      <c r="R205" s="130"/>
      <c r="S205" s="129"/>
      <c r="T205" s="129"/>
      <c r="U205" s="129"/>
      <c r="V205" s="130"/>
      <c r="W205" s="130"/>
      <c r="X205" s="130"/>
      <c r="Y205" s="130"/>
      <c r="Z205" s="152"/>
      <c r="AA205" s="130"/>
      <c r="AB205" s="130"/>
      <c r="AC205" s="130"/>
    </row>
    <row r="206" spans="1:29" ht="12.75" customHeight="1" x14ac:dyDescent="0.2">
      <c r="A206" s="129"/>
      <c r="B206" s="129"/>
      <c r="C206" s="143"/>
      <c r="D206" s="138"/>
      <c r="E206" s="129"/>
      <c r="F206" s="138"/>
      <c r="G206" s="138"/>
      <c r="H206" s="138"/>
      <c r="I206" s="138"/>
      <c r="J206" s="138"/>
      <c r="K206" s="130"/>
      <c r="L206" s="130"/>
      <c r="M206" s="130"/>
      <c r="N206" s="130"/>
      <c r="O206" s="130"/>
      <c r="P206" s="130"/>
      <c r="Q206" s="130"/>
      <c r="R206" s="130"/>
      <c r="S206" s="129"/>
      <c r="T206" s="129"/>
      <c r="U206" s="129"/>
      <c r="V206" s="130"/>
      <c r="W206" s="130"/>
      <c r="X206" s="130"/>
      <c r="Y206" s="130"/>
      <c r="Z206" s="152"/>
      <c r="AA206" s="130"/>
      <c r="AB206" s="130"/>
      <c r="AC206" s="130"/>
    </row>
    <row r="207" spans="1:29" ht="12.75" customHeight="1" x14ac:dyDescent="0.2">
      <c r="A207" s="129"/>
      <c r="B207" s="129"/>
      <c r="C207" s="143"/>
      <c r="D207" s="138"/>
      <c r="E207" s="129"/>
      <c r="F207" s="138"/>
      <c r="G207" s="138"/>
      <c r="H207" s="138"/>
      <c r="I207" s="138"/>
      <c r="J207" s="138"/>
      <c r="K207" s="130"/>
      <c r="L207" s="130"/>
      <c r="M207" s="130"/>
      <c r="N207" s="130"/>
      <c r="O207" s="130"/>
      <c r="P207" s="130"/>
      <c r="Q207" s="130"/>
      <c r="R207" s="130"/>
      <c r="S207" s="129"/>
      <c r="T207" s="129"/>
      <c r="U207" s="129"/>
      <c r="V207" s="130"/>
      <c r="W207" s="130"/>
      <c r="X207" s="130"/>
      <c r="Y207" s="130"/>
      <c r="Z207" s="152"/>
      <c r="AA207" s="130"/>
      <c r="AB207" s="130"/>
      <c r="AC207" s="130"/>
    </row>
    <row r="208" spans="1:29" ht="12.75" customHeight="1" x14ac:dyDescent="0.2">
      <c r="A208" s="129"/>
      <c r="B208" s="129"/>
      <c r="C208" s="143"/>
      <c r="D208" s="138"/>
      <c r="E208" s="129"/>
      <c r="F208" s="138"/>
      <c r="G208" s="138"/>
      <c r="H208" s="138"/>
      <c r="I208" s="138"/>
      <c r="J208" s="138"/>
      <c r="K208" s="130"/>
      <c r="L208" s="130"/>
      <c r="M208" s="130"/>
      <c r="N208" s="130"/>
      <c r="O208" s="130"/>
      <c r="P208" s="130"/>
      <c r="Q208" s="130"/>
      <c r="R208" s="130"/>
      <c r="S208" s="129"/>
      <c r="T208" s="129"/>
      <c r="U208" s="129"/>
      <c r="V208" s="130"/>
      <c r="W208" s="130"/>
      <c r="X208" s="130"/>
      <c r="Y208" s="130"/>
      <c r="Z208" s="152"/>
      <c r="AA208" s="130"/>
      <c r="AB208" s="130"/>
      <c r="AC208" s="130"/>
    </row>
    <row r="209" spans="1:29" ht="12.75" customHeight="1" x14ac:dyDescent="0.2">
      <c r="A209" s="129"/>
      <c r="B209" s="129"/>
      <c r="C209" s="143"/>
      <c r="D209" s="138"/>
      <c r="E209" s="129"/>
      <c r="F209" s="138"/>
      <c r="G209" s="138"/>
      <c r="H209" s="138"/>
      <c r="I209" s="138"/>
      <c r="J209" s="138"/>
      <c r="K209" s="130"/>
      <c r="L209" s="130"/>
      <c r="M209" s="130"/>
      <c r="N209" s="130"/>
      <c r="O209" s="130"/>
      <c r="P209" s="130"/>
      <c r="Q209" s="130"/>
      <c r="R209" s="130"/>
      <c r="S209" s="129"/>
      <c r="T209" s="129"/>
      <c r="U209" s="129"/>
      <c r="V209" s="130"/>
      <c r="W209" s="130"/>
      <c r="X209" s="130"/>
      <c r="Y209" s="130"/>
      <c r="Z209" s="152"/>
      <c r="AA209" s="130"/>
      <c r="AB209" s="130"/>
      <c r="AC209" s="130"/>
    </row>
    <row r="210" spans="1:29" ht="12.75" customHeight="1" x14ac:dyDescent="0.2">
      <c r="A210" s="129"/>
      <c r="B210" s="129"/>
      <c r="C210" s="143"/>
      <c r="D210" s="138"/>
      <c r="E210" s="129"/>
      <c r="F210" s="138"/>
      <c r="G210" s="138"/>
      <c r="H210" s="138"/>
      <c r="I210" s="138"/>
      <c r="J210" s="138"/>
      <c r="K210" s="130"/>
      <c r="L210" s="130"/>
      <c r="M210" s="130"/>
      <c r="N210" s="130"/>
      <c r="O210" s="130"/>
      <c r="P210" s="130"/>
      <c r="Q210" s="130"/>
      <c r="R210" s="130"/>
      <c r="S210" s="129"/>
      <c r="T210" s="129"/>
      <c r="U210" s="129"/>
      <c r="V210" s="130"/>
      <c r="W210" s="130"/>
      <c r="X210" s="130"/>
      <c r="Y210" s="130"/>
      <c r="Z210" s="152"/>
      <c r="AA210" s="130"/>
      <c r="AB210" s="130"/>
      <c r="AC210" s="130"/>
    </row>
    <row r="211" spans="1:29" ht="12.75" customHeight="1" x14ac:dyDescent="0.2">
      <c r="A211" s="129"/>
      <c r="B211" s="129"/>
      <c r="C211" s="143"/>
      <c r="D211" s="138"/>
      <c r="E211" s="129"/>
      <c r="F211" s="138"/>
      <c r="G211" s="138"/>
      <c r="H211" s="138"/>
      <c r="I211" s="138"/>
      <c r="J211" s="138"/>
      <c r="K211" s="130"/>
      <c r="L211" s="130"/>
      <c r="M211" s="130"/>
      <c r="N211" s="130"/>
      <c r="O211" s="130"/>
      <c r="P211" s="130"/>
      <c r="Q211" s="130"/>
      <c r="R211" s="130"/>
      <c r="S211" s="129"/>
      <c r="T211" s="129"/>
      <c r="U211" s="129"/>
      <c r="V211" s="130"/>
      <c r="W211" s="130"/>
      <c r="X211" s="130"/>
      <c r="Y211" s="130"/>
      <c r="Z211" s="152"/>
      <c r="AA211" s="130"/>
      <c r="AB211" s="130"/>
      <c r="AC211" s="130"/>
    </row>
    <row r="212" spans="1:29" ht="12.75" customHeight="1" x14ac:dyDescent="0.2">
      <c r="A212" s="129"/>
      <c r="B212" s="129"/>
      <c r="C212" s="143"/>
      <c r="D212" s="138"/>
      <c r="E212" s="129"/>
      <c r="F212" s="138"/>
      <c r="G212" s="138"/>
      <c r="H212" s="138"/>
      <c r="I212" s="138"/>
      <c r="J212" s="138"/>
      <c r="K212" s="130"/>
      <c r="L212" s="130"/>
      <c r="M212" s="130"/>
      <c r="N212" s="130"/>
      <c r="O212" s="130"/>
      <c r="P212" s="130"/>
      <c r="Q212" s="130"/>
      <c r="R212" s="130"/>
      <c r="S212" s="129"/>
      <c r="T212" s="129"/>
      <c r="U212" s="129"/>
      <c r="V212" s="130"/>
      <c r="W212" s="130"/>
      <c r="X212" s="130"/>
      <c r="Y212" s="130"/>
      <c r="Z212" s="152"/>
      <c r="AA212" s="130"/>
      <c r="AB212" s="130"/>
      <c r="AC212" s="130"/>
    </row>
    <row r="213" spans="1:29" ht="12.75" customHeight="1" x14ac:dyDescent="0.2">
      <c r="A213" s="129"/>
      <c r="B213" s="129"/>
      <c r="C213" s="143"/>
      <c r="D213" s="138"/>
      <c r="E213" s="129"/>
      <c r="F213" s="138"/>
      <c r="G213" s="138"/>
      <c r="H213" s="138"/>
      <c r="I213" s="138"/>
      <c r="J213" s="138"/>
      <c r="K213" s="130"/>
      <c r="L213" s="130"/>
      <c r="M213" s="130"/>
      <c r="N213" s="130"/>
      <c r="O213" s="130"/>
      <c r="P213" s="130"/>
      <c r="Q213" s="130"/>
      <c r="R213" s="130"/>
      <c r="S213" s="129"/>
      <c r="T213" s="129"/>
      <c r="U213" s="129"/>
      <c r="V213" s="130"/>
      <c r="W213" s="130"/>
      <c r="X213" s="130"/>
      <c r="Y213" s="130"/>
      <c r="Z213" s="152"/>
      <c r="AA213" s="130"/>
      <c r="AB213" s="130"/>
      <c r="AC213" s="130"/>
    </row>
    <row r="214" spans="1:29" ht="12.75" customHeight="1" x14ac:dyDescent="0.2">
      <c r="A214" s="129"/>
      <c r="B214" s="129"/>
      <c r="C214" s="143"/>
      <c r="D214" s="138"/>
      <c r="E214" s="129"/>
      <c r="F214" s="138"/>
      <c r="G214" s="138"/>
      <c r="H214" s="138"/>
      <c r="I214" s="138"/>
      <c r="J214" s="138"/>
      <c r="K214" s="130"/>
      <c r="L214" s="130"/>
      <c r="M214" s="130"/>
      <c r="N214" s="130"/>
      <c r="O214" s="130"/>
      <c r="P214" s="130"/>
      <c r="Q214" s="130"/>
      <c r="R214" s="130"/>
      <c r="S214" s="129"/>
      <c r="T214" s="129"/>
      <c r="U214" s="129"/>
      <c r="V214" s="130"/>
      <c r="W214" s="130"/>
      <c r="X214" s="130"/>
      <c r="Y214" s="130"/>
      <c r="Z214" s="152"/>
      <c r="AA214" s="130"/>
      <c r="AB214" s="130"/>
      <c r="AC214" s="130"/>
    </row>
    <row r="215" spans="1:29" ht="12.75" customHeight="1" x14ac:dyDescent="0.2">
      <c r="A215" s="129"/>
      <c r="B215" s="129"/>
      <c r="C215" s="143"/>
      <c r="D215" s="138"/>
      <c r="E215" s="129"/>
      <c r="F215" s="138"/>
      <c r="G215" s="138"/>
      <c r="H215" s="138"/>
      <c r="I215" s="138"/>
      <c r="J215" s="138"/>
      <c r="K215" s="130"/>
      <c r="L215" s="130"/>
      <c r="M215" s="130"/>
      <c r="N215" s="130"/>
      <c r="O215" s="130"/>
      <c r="P215" s="130"/>
      <c r="Q215" s="130"/>
      <c r="R215" s="130"/>
      <c r="S215" s="129"/>
      <c r="T215" s="129"/>
      <c r="U215" s="129"/>
      <c r="V215" s="130"/>
      <c r="W215" s="130"/>
      <c r="X215" s="130"/>
      <c r="Y215" s="130"/>
      <c r="Z215" s="152"/>
      <c r="AA215" s="130"/>
      <c r="AB215" s="130"/>
      <c r="AC215" s="130"/>
    </row>
    <row r="216" spans="1:29" ht="12.75" customHeight="1" x14ac:dyDescent="0.2">
      <c r="A216" s="129"/>
      <c r="B216" s="129"/>
      <c r="C216" s="143"/>
      <c r="D216" s="138"/>
      <c r="E216" s="129"/>
      <c r="F216" s="138"/>
      <c r="G216" s="138"/>
      <c r="H216" s="138"/>
      <c r="I216" s="138"/>
      <c r="J216" s="138"/>
      <c r="K216" s="130"/>
      <c r="L216" s="130"/>
      <c r="M216" s="130"/>
      <c r="N216" s="130"/>
      <c r="O216" s="130"/>
      <c r="P216" s="130"/>
      <c r="Q216" s="130"/>
      <c r="R216" s="130"/>
      <c r="S216" s="129"/>
      <c r="T216" s="129"/>
      <c r="U216" s="129"/>
      <c r="V216" s="130"/>
      <c r="W216" s="130"/>
      <c r="X216" s="130"/>
      <c r="Y216" s="130"/>
      <c r="Z216" s="152"/>
      <c r="AA216" s="130"/>
      <c r="AB216" s="130"/>
      <c r="AC216" s="130"/>
    </row>
    <row r="217" spans="1:29" ht="12.75" customHeight="1" x14ac:dyDescent="0.2">
      <c r="A217" s="129"/>
      <c r="B217" s="129"/>
      <c r="C217" s="143"/>
      <c r="D217" s="138"/>
      <c r="E217" s="129"/>
      <c r="F217" s="138"/>
      <c r="G217" s="138"/>
      <c r="H217" s="138"/>
      <c r="I217" s="138"/>
      <c r="J217" s="138"/>
      <c r="K217" s="130"/>
      <c r="L217" s="130"/>
      <c r="M217" s="130"/>
      <c r="N217" s="130"/>
      <c r="O217" s="130"/>
      <c r="P217" s="130"/>
      <c r="Q217" s="130"/>
      <c r="R217" s="130"/>
      <c r="S217" s="129"/>
      <c r="T217" s="129"/>
      <c r="U217" s="129"/>
      <c r="V217" s="130"/>
      <c r="W217" s="130"/>
      <c r="X217" s="130"/>
      <c r="Y217" s="130"/>
      <c r="Z217" s="152"/>
      <c r="AA217" s="130"/>
      <c r="AB217" s="130"/>
      <c r="AC217" s="130"/>
    </row>
    <row r="218" spans="1:29" ht="12.75" customHeight="1" x14ac:dyDescent="0.2">
      <c r="A218" s="129"/>
      <c r="B218" s="129"/>
      <c r="C218" s="143"/>
      <c r="D218" s="138"/>
      <c r="E218" s="129"/>
      <c r="F218" s="138"/>
      <c r="G218" s="138"/>
      <c r="H218" s="138"/>
      <c r="I218" s="138"/>
      <c r="J218" s="138"/>
      <c r="K218" s="130"/>
      <c r="L218" s="130"/>
      <c r="M218" s="130"/>
      <c r="N218" s="130"/>
      <c r="O218" s="130"/>
      <c r="P218" s="130"/>
      <c r="Q218" s="130"/>
      <c r="R218" s="130"/>
      <c r="S218" s="129"/>
      <c r="T218" s="129"/>
      <c r="U218" s="129"/>
      <c r="V218" s="130"/>
      <c r="W218" s="130"/>
      <c r="X218" s="130"/>
      <c r="Y218" s="130"/>
      <c r="Z218" s="152"/>
      <c r="AA218" s="130"/>
      <c r="AB218" s="130"/>
      <c r="AC218" s="130"/>
    </row>
    <row r="219" spans="1:29" ht="12.75" customHeight="1" x14ac:dyDescent="0.2">
      <c r="A219" s="129"/>
      <c r="B219" s="129"/>
      <c r="C219" s="143"/>
      <c r="D219" s="138"/>
      <c r="E219" s="129"/>
      <c r="F219" s="138"/>
      <c r="G219" s="138"/>
      <c r="H219" s="138"/>
      <c r="I219" s="138"/>
      <c r="J219" s="138"/>
      <c r="K219" s="130"/>
      <c r="L219" s="130"/>
      <c r="M219" s="130"/>
      <c r="N219" s="130"/>
      <c r="O219" s="130"/>
      <c r="P219" s="130"/>
      <c r="Q219" s="130"/>
      <c r="R219" s="130"/>
      <c r="S219" s="129"/>
      <c r="T219" s="129"/>
      <c r="U219" s="129"/>
      <c r="V219" s="130"/>
      <c r="W219" s="130"/>
      <c r="X219" s="130"/>
      <c r="Y219" s="130"/>
      <c r="Z219" s="152"/>
      <c r="AA219" s="130"/>
      <c r="AB219" s="130"/>
      <c r="AC219" s="130"/>
    </row>
    <row r="220" spans="1:29" ht="12.75" customHeight="1" x14ac:dyDescent="0.2">
      <c r="A220" s="129"/>
      <c r="B220" s="129"/>
      <c r="C220" s="143"/>
      <c r="D220" s="138"/>
      <c r="E220" s="129"/>
      <c r="F220" s="138"/>
      <c r="G220" s="138"/>
      <c r="H220" s="138"/>
      <c r="I220" s="138"/>
      <c r="J220" s="138"/>
      <c r="K220" s="130"/>
      <c r="L220" s="130"/>
      <c r="M220" s="130"/>
      <c r="N220" s="130"/>
      <c r="O220" s="130"/>
      <c r="P220" s="130"/>
      <c r="Q220" s="130"/>
      <c r="R220" s="130"/>
      <c r="S220" s="129"/>
      <c r="T220" s="129"/>
      <c r="U220" s="129"/>
      <c r="V220" s="130"/>
      <c r="W220" s="130"/>
      <c r="X220" s="130"/>
      <c r="Y220" s="130"/>
      <c r="Z220" s="152"/>
      <c r="AA220" s="130"/>
      <c r="AB220" s="130"/>
      <c r="AC220" s="130"/>
    </row>
    <row r="221" spans="1:29" ht="12.75" customHeight="1" x14ac:dyDescent="0.2">
      <c r="A221" s="129"/>
      <c r="B221" s="129"/>
      <c r="C221" s="143"/>
      <c r="D221" s="138"/>
      <c r="E221" s="129"/>
      <c r="F221" s="138"/>
      <c r="G221" s="138"/>
      <c r="H221" s="138"/>
      <c r="I221" s="138"/>
      <c r="J221" s="138"/>
      <c r="K221" s="130"/>
      <c r="L221" s="130"/>
      <c r="M221" s="130"/>
      <c r="N221" s="130"/>
      <c r="O221" s="130"/>
      <c r="P221" s="130"/>
      <c r="Q221" s="130"/>
      <c r="R221" s="130"/>
      <c r="S221" s="129"/>
      <c r="T221" s="129"/>
      <c r="U221" s="129"/>
      <c r="V221" s="130"/>
      <c r="W221" s="130"/>
      <c r="X221" s="130"/>
      <c r="Y221" s="130"/>
      <c r="Z221" s="152"/>
      <c r="AA221" s="130"/>
      <c r="AB221" s="130"/>
      <c r="AC221" s="130"/>
    </row>
    <row r="222" spans="1:29" ht="12.75" customHeight="1" x14ac:dyDescent="0.2">
      <c r="A222" s="129"/>
      <c r="B222" s="129"/>
      <c r="C222" s="143"/>
      <c r="D222" s="138"/>
      <c r="E222" s="129"/>
      <c r="F222" s="138"/>
      <c r="G222" s="138"/>
      <c r="H222" s="138"/>
      <c r="I222" s="138"/>
      <c r="J222" s="138"/>
      <c r="K222" s="130"/>
      <c r="L222" s="130"/>
      <c r="M222" s="130"/>
      <c r="N222" s="130"/>
      <c r="O222" s="130"/>
      <c r="P222" s="130"/>
      <c r="Q222" s="130"/>
      <c r="R222" s="130"/>
      <c r="S222" s="129"/>
      <c r="T222" s="129"/>
      <c r="U222" s="129"/>
      <c r="V222" s="130"/>
      <c r="W222" s="130"/>
      <c r="X222" s="130"/>
      <c r="Y222" s="130"/>
      <c r="Z222" s="152"/>
      <c r="AA222" s="130"/>
      <c r="AB222" s="130"/>
      <c r="AC222" s="130"/>
    </row>
    <row r="223" spans="1:29" ht="12.75" customHeight="1" x14ac:dyDescent="0.2">
      <c r="A223" s="129"/>
      <c r="B223" s="129"/>
      <c r="C223" s="143"/>
      <c r="D223" s="138"/>
      <c r="E223" s="129"/>
      <c r="F223" s="138"/>
      <c r="G223" s="138"/>
      <c r="H223" s="138"/>
      <c r="I223" s="138"/>
      <c r="J223" s="138"/>
      <c r="K223" s="130"/>
      <c r="L223" s="130"/>
      <c r="M223" s="130"/>
      <c r="N223" s="130"/>
      <c r="O223" s="130"/>
      <c r="P223" s="130"/>
      <c r="Q223" s="130"/>
      <c r="R223" s="130"/>
      <c r="S223" s="129"/>
      <c r="T223" s="129"/>
      <c r="U223" s="129"/>
      <c r="V223" s="130"/>
      <c r="W223" s="130"/>
      <c r="X223" s="130"/>
      <c r="Y223" s="130"/>
      <c r="Z223" s="152"/>
      <c r="AA223" s="130"/>
      <c r="AB223" s="130"/>
      <c r="AC223" s="130"/>
    </row>
    <row r="224" spans="1:29" ht="12.75" customHeight="1" x14ac:dyDescent="0.2">
      <c r="A224" s="129"/>
      <c r="B224" s="129"/>
      <c r="C224" s="143"/>
      <c r="D224" s="138"/>
      <c r="E224" s="129"/>
      <c r="F224" s="138"/>
      <c r="G224" s="138"/>
      <c r="H224" s="138"/>
      <c r="I224" s="138"/>
      <c r="J224" s="138"/>
      <c r="K224" s="130"/>
      <c r="L224" s="130"/>
      <c r="M224" s="130"/>
      <c r="N224" s="130"/>
      <c r="O224" s="130"/>
      <c r="P224" s="130"/>
      <c r="Q224" s="130"/>
      <c r="R224" s="130"/>
      <c r="S224" s="129"/>
      <c r="T224" s="129"/>
      <c r="U224" s="129"/>
      <c r="V224" s="130"/>
      <c r="W224" s="130"/>
      <c r="X224" s="130"/>
      <c r="Y224" s="130"/>
      <c r="Z224" s="152"/>
      <c r="AA224" s="130"/>
      <c r="AB224" s="130"/>
      <c r="AC224" s="130"/>
    </row>
    <row r="225" spans="1:29" ht="12.75" customHeight="1" x14ac:dyDescent="0.2">
      <c r="A225" s="129"/>
      <c r="B225" s="129"/>
      <c r="C225" s="143"/>
      <c r="D225" s="138"/>
      <c r="E225" s="129"/>
      <c r="F225" s="138"/>
      <c r="G225" s="138"/>
      <c r="H225" s="138"/>
      <c r="I225" s="138"/>
      <c r="J225" s="138"/>
      <c r="K225" s="130"/>
      <c r="L225" s="130"/>
      <c r="M225" s="130"/>
      <c r="N225" s="130"/>
      <c r="O225" s="130"/>
      <c r="P225" s="130"/>
      <c r="Q225" s="130"/>
      <c r="R225" s="130"/>
      <c r="S225" s="129"/>
      <c r="T225" s="129"/>
      <c r="U225" s="129"/>
      <c r="V225" s="130"/>
      <c r="W225" s="130"/>
      <c r="X225" s="130"/>
      <c r="Y225" s="130"/>
      <c r="Z225" s="152"/>
      <c r="AA225" s="130"/>
      <c r="AB225" s="130"/>
      <c r="AC225" s="130"/>
    </row>
    <row r="226" spans="1:29" ht="12.75" customHeight="1" x14ac:dyDescent="0.2">
      <c r="A226" s="129"/>
      <c r="B226" s="129"/>
      <c r="C226" s="143"/>
      <c r="D226" s="138"/>
      <c r="E226" s="129"/>
      <c r="F226" s="138"/>
      <c r="G226" s="138"/>
      <c r="H226" s="138"/>
      <c r="I226" s="138"/>
      <c r="J226" s="138"/>
      <c r="K226" s="130"/>
      <c r="L226" s="130"/>
      <c r="M226" s="130"/>
      <c r="N226" s="130"/>
      <c r="O226" s="130"/>
      <c r="P226" s="130"/>
      <c r="Q226" s="130"/>
      <c r="R226" s="130"/>
      <c r="S226" s="129"/>
      <c r="T226" s="129"/>
      <c r="U226" s="129"/>
      <c r="V226" s="130"/>
      <c r="W226" s="130"/>
      <c r="X226" s="130"/>
      <c r="Y226" s="130"/>
      <c r="Z226" s="152"/>
      <c r="AA226" s="130"/>
      <c r="AB226" s="130"/>
      <c r="AC226" s="130"/>
    </row>
    <row r="227" spans="1:29" ht="12.75" customHeight="1" x14ac:dyDescent="0.2">
      <c r="A227" s="129"/>
      <c r="B227" s="129"/>
      <c r="C227" s="143"/>
      <c r="D227" s="138"/>
      <c r="E227" s="129"/>
      <c r="F227" s="138"/>
      <c r="G227" s="138"/>
      <c r="H227" s="138"/>
      <c r="I227" s="138"/>
      <c r="J227" s="138"/>
      <c r="K227" s="130"/>
      <c r="L227" s="130"/>
      <c r="M227" s="130"/>
      <c r="N227" s="130"/>
      <c r="O227" s="130"/>
      <c r="P227" s="130"/>
      <c r="Q227" s="130"/>
      <c r="R227" s="130"/>
      <c r="S227" s="129"/>
      <c r="T227" s="129"/>
      <c r="U227" s="129"/>
      <c r="V227" s="130"/>
      <c r="W227" s="130"/>
      <c r="X227" s="130"/>
      <c r="Y227" s="130"/>
      <c r="Z227" s="152"/>
      <c r="AA227" s="130"/>
      <c r="AB227" s="130"/>
      <c r="AC227" s="130"/>
    </row>
    <row r="228" spans="1:29" ht="12.75" customHeight="1" x14ac:dyDescent="0.2">
      <c r="A228" s="129"/>
      <c r="B228" s="129"/>
      <c r="C228" s="143"/>
      <c r="D228" s="138"/>
      <c r="E228" s="129"/>
      <c r="F228" s="138"/>
      <c r="G228" s="138"/>
      <c r="H228" s="138"/>
      <c r="I228" s="138"/>
      <c r="J228" s="138"/>
      <c r="K228" s="130"/>
      <c r="L228" s="130"/>
      <c r="M228" s="130"/>
      <c r="N228" s="130"/>
      <c r="O228" s="130"/>
      <c r="P228" s="130"/>
      <c r="Q228" s="130"/>
      <c r="R228" s="130"/>
      <c r="S228" s="129"/>
      <c r="T228" s="129"/>
      <c r="U228" s="129"/>
      <c r="V228" s="130"/>
      <c r="W228" s="130"/>
      <c r="X228" s="130"/>
      <c r="Y228" s="130"/>
      <c r="Z228" s="152"/>
      <c r="AA228" s="130"/>
      <c r="AB228" s="130"/>
      <c r="AC228" s="130"/>
    </row>
    <row r="229" spans="1:29" ht="12.75" customHeight="1" x14ac:dyDescent="0.2">
      <c r="A229" s="129"/>
      <c r="B229" s="129"/>
      <c r="C229" s="143"/>
      <c r="D229" s="138"/>
      <c r="E229" s="129"/>
      <c r="F229" s="138"/>
      <c r="G229" s="138"/>
      <c r="H229" s="138"/>
      <c r="I229" s="138"/>
      <c r="J229" s="138"/>
      <c r="K229" s="130"/>
      <c r="L229" s="130"/>
      <c r="M229" s="130"/>
      <c r="N229" s="130"/>
      <c r="O229" s="130"/>
      <c r="P229" s="130"/>
      <c r="Q229" s="130"/>
      <c r="R229" s="130"/>
      <c r="S229" s="129"/>
      <c r="T229" s="129"/>
      <c r="U229" s="129"/>
      <c r="V229" s="130"/>
      <c r="W229" s="130"/>
      <c r="X229" s="130"/>
      <c r="Y229" s="130"/>
      <c r="Z229" s="152"/>
      <c r="AA229" s="130"/>
      <c r="AB229" s="130"/>
      <c r="AC229" s="130"/>
    </row>
    <row r="230" spans="1:29" ht="12.75" customHeight="1" x14ac:dyDescent="0.2">
      <c r="A230" s="129"/>
      <c r="B230" s="129"/>
      <c r="C230" s="143"/>
      <c r="D230" s="138"/>
      <c r="E230" s="129"/>
      <c r="F230" s="138"/>
      <c r="G230" s="138"/>
      <c r="H230" s="138"/>
      <c r="I230" s="138"/>
      <c r="J230" s="138"/>
      <c r="K230" s="130"/>
      <c r="L230" s="130"/>
      <c r="M230" s="130"/>
      <c r="N230" s="130"/>
      <c r="O230" s="130"/>
      <c r="P230" s="130"/>
      <c r="Q230" s="130"/>
      <c r="R230" s="130"/>
      <c r="S230" s="129"/>
      <c r="T230" s="129"/>
      <c r="U230" s="129"/>
      <c r="V230" s="130"/>
      <c r="W230" s="130"/>
      <c r="X230" s="130"/>
      <c r="Y230" s="130"/>
      <c r="Z230" s="152"/>
      <c r="AA230" s="130"/>
      <c r="AB230" s="130"/>
      <c r="AC230" s="130"/>
    </row>
    <row r="231" spans="1:29" ht="12.75" customHeight="1" x14ac:dyDescent="0.2">
      <c r="A231" s="129"/>
      <c r="B231" s="129"/>
      <c r="C231" s="143"/>
      <c r="D231" s="138"/>
      <c r="E231" s="129"/>
      <c r="F231" s="138"/>
      <c r="G231" s="138"/>
      <c r="H231" s="138"/>
      <c r="I231" s="138"/>
      <c r="J231" s="138"/>
      <c r="K231" s="130"/>
      <c r="L231" s="130"/>
      <c r="M231" s="130"/>
      <c r="N231" s="130"/>
      <c r="O231" s="130"/>
      <c r="P231" s="130"/>
      <c r="Q231" s="130"/>
      <c r="R231" s="130"/>
      <c r="S231" s="129"/>
      <c r="T231" s="129"/>
      <c r="U231" s="129"/>
      <c r="V231" s="130"/>
      <c r="W231" s="130"/>
      <c r="X231" s="130"/>
      <c r="Y231" s="130"/>
      <c r="Z231" s="152"/>
      <c r="AA231" s="130"/>
      <c r="AB231" s="130"/>
      <c r="AC231" s="130"/>
    </row>
    <row r="232" spans="1:29" ht="12.75" customHeight="1" x14ac:dyDescent="0.2">
      <c r="A232" s="129"/>
      <c r="B232" s="129"/>
      <c r="C232" s="143"/>
      <c r="D232" s="138"/>
      <c r="E232" s="129"/>
      <c r="F232" s="138"/>
      <c r="G232" s="138"/>
      <c r="H232" s="138"/>
      <c r="I232" s="138"/>
      <c r="J232" s="138"/>
      <c r="K232" s="130"/>
      <c r="L232" s="130"/>
      <c r="M232" s="130"/>
      <c r="N232" s="130"/>
      <c r="O232" s="130"/>
      <c r="P232" s="130"/>
      <c r="Q232" s="130"/>
      <c r="R232" s="130"/>
      <c r="S232" s="129"/>
      <c r="T232" s="129"/>
      <c r="U232" s="129"/>
      <c r="V232" s="130"/>
      <c r="W232" s="130"/>
      <c r="X232" s="130"/>
      <c r="Y232" s="130"/>
      <c r="Z232" s="152"/>
      <c r="AA232" s="130"/>
      <c r="AB232" s="130"/>
      <c r="AC232" s="130"/>
    </row>
    <row r="233" spans="1:29" ht="12.75" customHeight="1" x14ac:dyDescent="0.2">
      <c r="A233" s="129"/>
      <c r="B233" s="129"/>
      <c r="C233" s="143"/>
      <c r="D233" s="138"/>
      <c r="E233" s="129"/>
      <c r="F233" s="138"/>
      <c r="G233" s="138"/>
      <c r="H233" s="138"/>
      <c r="I233" s="138"/>
      <c r="J233" s="138"/>
      <c r="K233" s="130"/>
      <c r="L233" s="130"/>
      <c r="M233" s="130"/>
      <c r="N233" s="130"/>
      <c r="O233" s="130"/>
      <c r="P233" s="130"/>
      <c r="Q233" s="130"/>
      <c r="R233" s="130"/>
      <c r="S233" s="129"/>
      <c r="T233" s="129"/>
      <c r="U233" s="129"/>
      <c r="V233" s="130"/>
      <c r="W233" s="130"/>
      <c r="X233" s="130"/>
      <c r="Y233" s="130"/>
      <c r="Z233" s="152"/>
      <c r="AA233" s="130"/>
      <c r="AB233" s="130"/>
      <c r="AC233" s="130"/>
    </row>
    <row r="234" spans="1:29" ht="12.75" customHeight="1" x14ac:dyDescent="0.2">
      <c r="A234" s="129"/>
      <c r="B234" s="129"/>
      <c r="C234" s="143"/>
      <c r="D234" s="138"/>
      <c r="E234" s="129"/>
      <c r="F234" s="138"/>
      <c r="G234" s="138"/>
      <c r="H234" s="138"/>
      <c r="I234" s="138"/>
      <c r="J234" s="138"/>
      <c r="K234" s="130"/>
      <c r="L234" s="130"/>
      <c r="M234" s="130"/>
      <c r="N234" s="130"/>
      <c r="O234" s="130"/>
      <c r="P234" s="130"/>
      <c r="Q234" s="130"/>
      <c r="R234" s="130"/>
      <c r="S234" s="129"/>
      <c r="T234" s="129"/>
      <c r="U234" s="129"/>
      <c r="V234" s="130"/>
      <c r="W234" s="130"/>
      <c r="X234" s="130"/>
      <c r="Y234" s="130"/>
      <c r="Z234" s="152"/>
      <c r="AA234" s="130"/>
      <c r="AB234" s="130"/>
      <c r="AC234" s="130"/>
    </row>
    <row r="235" spans="1:29" ht="12.75" customHeight="1" x14ac:dyDescent="0.2">
      <c r="A235" s="129"/>
      <c r="B235" s="129"/>
      <c r="C235" s="143"/>
      <c r="D235" s="138"/>
      <c r="E235" s="129"/>
      <c r="F235" s="138"/>
      <c r="G235" s="138"/>
      <c r="H235" s="138"/>
      <c r="I235" s="138"/>
      <c r="J235" s="138"/>
      <c r="K235" s="130"/>
      <c r="L235" s="130"/>
      <c r="M235" s="130"/>
      <c r="N235" s="130"/>
      <c r="O235" s="130"/>
      <c r="P235" s="130"/>
      <c r="Q235" s="130"/>
      <c r="R235" s="130"/>
      <c r="S235" s="129"/>
      <c r="T235" s="129"/>
      <c r="U235" s="129"/>
      <c r="V235" s="130"/>
      <c r="W235" s="130"/>
      <c r="X235" s="130"/>
      <c r="Y235" s="130"/>
      <c r="Z235" s="152"/>
      <c r="AA235" s="130"/>
      <c r="AB235" s="130"/>
      <c r="AC235" s="130"/>
    </row>
    <row r="236" spans="1:29" ht="12.75" customHeight="1" x14ac:dyDescent="0.2">
      <c r="A236" s="129"/>
      <c r="B236" s="129"/>
      <c r="C236" s="143"/>
      <c r="D236" s="138"/>
      <c r="E236" s="129"/>
      <c r="F236" s="138"/>
      <c r="G236" s="138"/>
      <c r="H236" s="138"/>
      <c r="I236" s="138"/>
      <c r="J236" s="138"/>
      <c r="K236" s="130"/>
      <c r="L236" s="130"/>
      <c r="M236" s="130"/>
      <c r="N236" s="130"/>
      <c r="O236" s="130"/>
      <c r="P236" s="130"/>
      <c r="Q236" s="130"/>
      <c r="R236" s="130"/>
      <c r="S236" s="129"/>
      <c r="T236" s="129"/>
      <c r="U236" s="129"/>
      <c r="V236" s="130"/>
      <c r="W236" s="130"/>
      <c r="X236" s="130"/>
      <c r="Y236" s="130"/>
      <c r="Z236" s="152"/>
      <c r="AA236" s="130"/>
      <c r="AB236" s="130"/>
      <c r="AC236" s="130"/>
    </row>
    <row r="237" spans="1:29" ht="12.75" customHeight="1" x14ac:dyDescent="0.2">
      <c r="A237" s="129"/>
      <c r="B237" s="129"/>
      <c r="C237" s="143"/>
      <c r="D237" s="138"/>
      <c r="E237" s="129"/>
      <c r="F237" s="138"/>
      <c r="G237" s="138"/>
      <c r="H237" s="138"/>
      <c r="I237" s="138"/>
      <c r="J237" s="138"/>
      <c r="K237" s="130"/>
      <c r="L237" s="130"/>
      <c r="M237" s="130"/>
      <c r="N237" s="130"/>
      <c r="O237" s="130"/>
      <c r="P237" s="130"/>
      <c r="Q237" s="130"/>
      <c r="R237" s="130"/>
      <c r="S237" s="129"/>
      <c r="T237" s="129"/>
      <c r="U237" s="129"/>
      <c r="V237" s="130"/>
      <c r="W237" s="130"/>
      <c r="X237" s="130"/>
      <c r="Y237" s="130"/>
      <c r="Z237" s="152"/>
      <c r="AA237" s="130"/>
      <c r="AB237" s="130"/>
      <c r="AC237" s="130"/>
    </row>
    <row r="238" spans="1:29" ht="12.75" customHeight="1" x14ac:dyDescent="0.2">
      <c r="A238" s="129"/>
      <c r="B238" s="129"/>
      <c r="C238" s="143"/>
      <c r="D238" s="138"/>
      <c r="E238" s="129"/>
      <c r="F238" s="138"/>
      <c r="G238" s="138"/>
      <c r="H238" s="138"/>
      <c r="I238" s="138"/>
      <c r="J238" s="138"/>
      <c r="K238" s="130"/>
      <c r="L238" s="130"/>
      <c r="M238" s="130"/>
      <c r="N238" s="130"/>
      <c r="O238" s="130"/>
      <c r="P238" s="130"/>
      <c r="Q238" s="130"/>
      <c r="R238" s="130"/>
      <c r="S238" s="129"/>
      <c r="T238" s="129"/>
      <c r="U238" s="129"/>
      <c r="V238" s="130"/>
      <c r="W238" s="130"/>
      <c r="X238" s="130"/>
      <c r="Y238" s="130"/>
      <c r="Z238" s="152"/>
      <c r="AA238" s="130"/>
      <c r="AB238" s="130"/>
      <c r="AC238" s="130"/>
    </row>
    <row r="239" spans="1:29" ht="12.75" customHeight="1" x14ac:dyDescent="0.2">
      <c r="A239" s="129"/>
      <c r="B239" s="129"/>
      <c r="C239" s="143"/>
      <c r="D239" s="138"/>
      <c r="E239" s="129"/>
      <c r="F239" s="138"/>
      <c r="G239" s="138"/>
      <c r="H239" s="138"/>
      <c r="I239" s="138"/>
      <c r="J239" s="138"/>
      <c r="K239" s="130"/>
      <c r="L239" s="130"/>
      <c r="M239" s="130"/>
      <c r="N239" s="130"/>
      <c r="O239" s="130"/>
      <c r="P239" s="130"/>
      <c r="Q239" s="130"/>
      <c r="R239" s="130"/>
      <c r="S239" s="129"/>
      <c r="T239" s="129"/>
      <c r="U239" s="129"/>
      <c r="V239" s="130"/>
      <c r="W239" s="130"/>
      <c r="X239" s="130"/>
      <c r="Y239" s="130"/>
      <c r="Z239" s="152"/>
      <c r="AA239" s="130"/>
      <c r="AB239" s="130"/>
      <c r="AC239" s="130"/>
    </row>
    <row r="240" spans="1:29" ht="12.75" customHeight="1" x14ac:dyDescent="0.2">
      <c r="A240" s="129"/>
      <c r="B240" s="129"/>
      <c r="C240" s="143"/>
      <c r="D240" s="138"/>
      <c r="E240" s="129"/>
      <c r="F240" s="138"/>
      <c r="G240" s="138"/>
      <c r="H240" s="138"/>
      <c r="I240" s="138"/>
      <c r="J240" s="138"/>
      <c r="K240" s="130"/>
      <c r="L240" s="130"/>
      <c r="M240" s="130"/>
      <c r="N240" s="130"/>
      <c r="O240" s="130"/>
      <c r="P240" s="130"/>
      <c r="Q240" s="130"/>
      <c r="R240" s="130"/>
      <c r="S240" s="129"/>
      <c r="T240" s="129"/>
      <c r="U240" s="129"/>
      <c r="V240" s="130"/>
      <c r="W240" s="130"/>
      <c r="X240" s="130"/>
      <c r="Y240" s="130"/>
      <c r="Z240" s="152"/>
      <c r="AA240" s="130"/>
      <c r="AB240" s="130"/>
      <c r="AC240" s="130"/>
    </row>
    <row r="241" spans="1:29" ht="12.75" customHeight="1" x14ac:dyDescent="0.2">
      <c r="A241" s="129"/>
      <c r="B241" s="129"/>
      <c r="C241" s="143"/>
      <c r="D241" s="138"/>
      <c r="E241" s="129"/>
      <c r="F241" s="138"/>
      <c r="G241" s="138"/>
      <c r="H241" s="138"/>
      <c r="I241" s="138"/>
      <c r="J241" s="138"/>
      <c r="K241" s="130"/>
      <c r="L241" s="130"/>
      <c r="M241" s="130"/>
      <c r="N241" s="130"/>
      <c r="O241" s="130"/>
      <c r="P241" s="130"/>
      <c r="Q241" s="130"/>
      <c r="R241" s="130"/>
      <c r="S241" s="129"/>
      <c r="T241" s="129"/>
      <c r="U241" s="129"/>
      <c r="V241" s="130"/>
      <c r="W241" s="130"/>
      <c r="X241" s="130"/>
      <c r="Y241" s="130"/>
      <c r="Z241" s="152"/>
      <c r="AA241" s="130"/>
      <c r="AB241" s="130"/>
      <c r="AC241" s="130"/>
    </row>
    <row r="242" spans="1:29" ht="12.75" customHeight="1" x14ac:dyDescent="0.2">
      <c r="A242" s="129"/>
      <c r="B242" s="129"/>
      <c r="C242" s="143"/>
      <c r="D242" s="138"/>
      <c r="E242" s="129"/>
      <c r="F242" s="138"/>
      <c r="G242" s="138"/>
      <c r="H242" s="138"/>
      <c r="I242" s="138"/>
      <c r="J242" s="138"/>
      <c r="K242" s="130"/>
      <c r="L242" s="130"/>
      <c r="M242" s="130"/>
      <c r="N242" s="130"/>
      <c r="O242" s="130"/>
      <c r="P242" s="130"/>
      <c r="Q242" s="130"/>
      <c r="R242" s="130"/>
      <c r="S242" s="129"/>
      <c r="T242" s="129"/>
      <c r="U242" s="129"/>
      <c r="V242" s="130"/>
      <c r="W242" s="130"/>
      <c r="X242" s="130"/>
      <c r="Y242" s="130"/>
      <c r="Z242" s="152"/>
      <c r="AA242" s="130"/>
      <c r="AB242" s="130"/>
      <c r="AC242" s="130"/>
    </row>
    <row r="243" spans="1:29" ht="12.75" customHeight="1" x14ac:dyDescent="0.2">
      <c r="A243" s="129"/>
      <c r="B243" s="129"/>
      <c r="C243" s="143"/>
      <c r="D243" s="138"/>
      <c r="E243" s="129"/>
      <c r="F243" s="138"/>
      <c r="G243" s="138"/>
      <c r="H243" s="138"/>
      <c r="I243" s="138"/>
      <c r="J243" s="138"/>
      <c r="K243" s="130"/>
      <c r="L243" s="130"/>
      <c r="M243" s="130"/>
      <c r="N243" s="130"/>
      <c r="O243" s="130"/>
      <c r="P243" s="130"/>
      <c r="Q243" s="130"/>
      <c r="R243" s="130"/>
      <c r="S243" s="129"/>
      <c r="T243" s="129"/>
      <c r="U243" s="129"/>
      <c r="V243" s="130"/>
      <c r="W243" s="130"/>
      <c r="X243" s="130"/>
      <c r="Y243" s="130"/>
      <c r="Z243" s="152"/>
      <c r="AA243" s="130"/>
      <c r="AB243" s="130"/>
      <c r="AC243" s="130"/>
    </row>
    <row r="244" spans="1:29" ht="12.75" customHeight="1" x14ac:dyDescent="0.2">
      <c r="A244" s="129"/>
      <c r="B244" s="129"/>
      <c r="C244" s="143"/>
      <c r="D244" s="138"/>
      <c r="E244" s="129"/>
      <c r="F244" s="138"/>
      <c r="G244" s="138"/>
      <c r="H244" s="138"/>
      <c r="I244" s="138"/>
      <c r="J244" s="138"/>
      <c r="K244" s="130"/>
      <c r="L244" s="130"/>
      <c r="M244" s="130"/>
      <c r="N244" s="130"/>
      <c r="O244" s="130"/>
      <c r="P244" s="130"/>
      <c r="Q244" s="130"/>
      <c r="R244" s="130"/>
      <c r="S244" s="129"/>
      <c r="T244" s="129"/>
      <c r="U244" s="129"/>
      <c r="V244" s="130"/>
      <c r="W244" s="130"/>
      <c r="X244" s="130"/>
      <c r="Y244" s="130"/>
      <c r="Z244" s="152"/>
      <c r="AA244" s="130"/>
      <c r="AB244" s="130"/>
      <c r="AC244" s="130"/>
    </row>
    <row r="245" spans="1:29" ht="12.75" customHeight="1" x14ac:dyDescent="0.2">
      <c r="A245" s="129"/>
      <c r="B245" s="129"/>
      <c r="C245" s="143"/>
      <c r="D245" s="138"/>
      <c r="E245" s="129"/>
      <c r="F245" s="138"/>
      <c r="G245" s="138"/>
      <c r="H245" s="138"/>
      <c r="I245" s="138"/>
      <c r="J245" s="138"/>
      <c r="K245" s="130"/>
      <c r="L245" s="130"/>
      <c r="M245" s="130"/>
      <c r="N245" s="130"/>
      <c r="O245" s="130"/>
      <c r="P245" s="130"/>
      <c r="Q245" s="130"/>
      <c r="R245" s="130"/>
      <c r="S245" s="129"/>
      <c r="T245" s="129"/>
      <c r="U245" s="129"/>
      <c r="V245" s="130"/>
      <c r="W245" s="130"/>
      <c r="X245" s="130"/>
      <c r="Y245" s="130"/>
      <c r="Z245" s="152"/>
      <c r="AA245" s="130"/>
      <c r="AB245" s="130"/>
      <c r="AC245" s="130"/>
    </row>
    <row r="246" spans="1:29" ht="12.75" customHeight="1" x14ac:dyDescent="0.2">
      <c r="A246" s="129"/>
      <c r="B246" s="129"/>
      <c r="C246" s="143"/>
      <c r="D246" s="138"/>
      <c r="E246" s="129"/>
      <c r="F246" s="138"/>
      <c r="G246" s="138"/>
      <c r="H246" s="138"/>
      <c r="I246" s="138"/>
      <c r="J246" s="138"/>
      <c r="K246" s="130"/>
      <c r="L246" s="130"/>
      <c r="M246" s="130"/>
      <c r="N246" s="130"/>
      <c r="O246" s="130"/>
      <c r="P246" s="130"/>
      <c r="Q246" s="130"/>
      <c r="R246" s="130"/>
      <c r="S246" s="129"/>
      <c r="T246" s="129"/>
      <c r="U246" s="129"/>
      <c r="V246" s="130"/>
      <c r="W246" s="130"/>
      <c r="X246" s="130"/>
      <c r="Y246" s="130"/>
      <c r="Z246" s="152"/>
      <c r="AA246" s="130"/>
      <c r="AB246" s="130"/>
      <c r="AC246" s="130"/>
    </row>
    <row r="247" spans="1:29" ht="12.75" customHeight="1" x14ac:dyDescent="0.2">
      <c r="A247" s="129"/>
      <c r="B247" s="129"/>
      <c r="C247" s="143"/>
      <c r="D247" s="138"/>
      <c r="E247" s="129"/>
      <c r="F247" s="138"/>
      <c r="G247" s="138"/>
      <c r="H247" s="138"/>
      <c r="I247" s="138"/>
      <c r="J247" s="138"/>
      <c r="K247" s="130"/>
      <c r="L247" s="130"/>
      <c r="M247" s="130"/>
      <c r="N247" s="130"/>
      <c r="O247" s="130"/>
      <c r="P247" s="130"/>
      <c r="Q247" s="130"/>
      <c r="R247" s="130"/>
      <c r="S247" s="129"/>
      <c r="T247" s="129"/>
      <c r="U247" s="129"/>
      <c r="V247" s="130"/>
      <c r="W247" s="130"/>
      <c r="X247" s="130"/>
      <c r="Y247" s="130"/>
      <c r="Z247" s="152"/>
      <c r="AA247" s="130"/>
      <c r="AB247" s="130"/>
      <c r="AC247" s="130"/>
    </row>
    <row r="248" spans="1:29" ht="12.75" customHeight="1" x14ac:dyDescent="0.2">
      <c r="A248" s="129"/>
      <c r="B248" s="129"/>
      <c r="C248" s="143"/>
      <c r="D248" s="138"/>
      <c r="E248" s="129"/>
      <c r="F248" s="138"/>
      <c r="G248" s="138"/>
      <c r="H248" s="138"/>
      <c r="I248" s="138"/>
      <c r="J248" s="138"/>
      <c r="K248" s="130"/>
      <c r="L248" s="130"/>
      <c r="M248" s="130"/>
      <c r="N248" s="130"/>
      <c r="O248" s="130"/>
      <c r="P248" s="130"/>
      <c r="Q248" s="130"/>
      <c r="R248" s="130"/>
      <c r="S248" s="129"/>
      <c r="T248" s="129"/>
      <c r="U248" s="129"/>
      <c r="V248" s="130"/>
      <c r="W248" s="130"/>
      <c r="X248" s="130"/>
      <c r="Y248" s="130"/>
      <c r="Z248" s="152"/>
      <c r="AA248" s="130"/>
      <c r="AB248" s="130"/>
      <c r="AC248" s="130"/>
    </row>
    <row r="249" spans="1:29" ht="12.75" customHeight="1" x14ac:dyDescent="0.2">
      <c r="A249" s="129"/>
      <c r="B249" s="129"/>
      <c r="C249" s="143"/>
      <c r="D249" s="138"/>
      <c r="E249" s="129"/>
      <c r="F249" s="138"/>
      <c r="G249" s="138"/>
      <c r="H249" s="138"/>
      <c r="I249" s="138"/>
      <c r="J249" s="138"/>
      <c r="K249" s="130"/>
      <c r="L249" s="130"/>
      <c r="M249" s="130"/>
      <c r="N249" s="130"/>
      <c r="O249" s="130"/>
      <c r="P249" s="130"/>
      <c r="Q249" s="130"/>
      <c r="R249" s="130"/>
      <c r="S249" s="129"/>
      <c r="T249" s="129"/>
      <c r="U249" s="129"/>
      <c r="V249" s="130"/>
      <c r="W249" s="130"/>
      <c r="X249" s="130"/>
      <c r="Y249" s="130"/>
      <c r="Z249" s="152"/>
      <c r="AA249" s="130"/>
      <c r="AB249" s="130"/>
      <c r="AC249" s="130"/>
    </row>
    <row r="250" spans="1:29" ht="12.75" customHeight="1" x14ac:dyDescent="0.2">
      <c r="A250" s="129"/>
      <c r="B250" s="129"/>
      <c r="C250" s="143"/>
      <c r="D250" s="138"/>
      <c r="E250" s="129"/>
      <c r="F250" s="138"/>
      <c r="G250" s="138"/>
      <c r="H250" s="138"/>
      <c r="I250" s="138"/>
      <c r="J250" s="138"/>
      <c r="K250" s="130"/>
      <c r="L250" s="130"/>
      <c r="M250" s="130"/>
      <c r="N250" s="130"/>
      <c r="O250" s="130"/>
      <c r="P250" s="130"/>
      <c r="Q250" s="130"/>
      <c r="R250" s="130"/>
      <c r="S250" s="129"/>
      <c r="T250" s="129"/>
      <c r="U250" s="129"/>
      <c r="V250" s="130"/>
      <c r="W250" s="130"/>
      <c r="X250" s="130"/>
      <c r="Y250" s="130"/>
      <c r="Z250" s="152"/>
      <c r="AA250" s="130"/>
      <c r="AB250" s="130"/>
      <c r="AC250" s="130"/>
    </row>
    <row r="251" spans="1:29" ht="12.75" customHeight="1" x14ac:dyDescent="0.2">
      <c r="A251" s="129"/>
      <c r="B251" s="129"/>
      <c r="C251" s="143"/>
      <c r="D251" s="138"/>
      <c r="E251" s="129"/>
      <c r="F251" s="138"/>
      <c r="G251" s="138"/>
      <c r="H251" s="138"/>
      <c r="I251" s="138"/>
      <c r="J251" s="138"/>
      <c r="K251" s="130"/>
      <c r="L251" s="130"/>
      <c r="M251" s="130"/>
      <c r="N251" s="130"/>
      <c r="O251" s="130"/>
      <c r="P251" s="130"/>
      <c r="Q251" s="130"/>
      <c r="R251" s="130"/>
      <c r="S251" s="129"/>
      <c r="T251" s="129"/>
      <c r="U251" s="129"/>
      <c r="V251" s="130"/>
      <c r="W251" s="130"/>
      <c r="X251" s="130"/>
      <c r="Y251" s="130"/>
      <c r="Z251" s="152"/>
      <c r="AA251" s="130"/>
      <c r="AB251" s="130"/>
      <c r="AC251" s="130"/>
    </row>
    <row r="252" spans="1:29" ht="12.75" customHeight="1" x14ac:dyDescent="0.2">
      <c r="A252" s="129"/>
      <c r="B252" s="129"/>
      <c r="C252" s="143"/>
      <c r="D252" s="138"/>
      <c r="E252" s="129"/>
      <c r="F252" s="138"/>
      <c r="G252" s="138"/>
      <c r="H252" s="138"/>
      <c r="I252" s="138"/>
      <c r="J252" s="138"/>
      <c r="K252" s="130"/>
      <c r="L252" s="130"/>
      <c r="M252" s="130"/>
      <c r="N252" s="130"/>
      <c r="O252" s="130"/>
      <c r="P252" s="130"/>
      <c r="Q252" s="130"/>
      <c r="R252" s="130"/>
      <c r="S252" s="129"/>
      <c r="T252" s="129"/>
      <c r="U252" s="129"/>
      <c r="V252" s="130"/>
      <c r="W252" s="130"/>
      <c r="X252" s="130"/>
      <c r="Y252" s="130"/>
      <c r="Z252" s="152"/>
      <c r="AA252" s="130"/>
      <c r="AB252" s="130"/>
      <c r="AC252" s="130"/>
    </row>
    <row r="253" spans="1:29" ht="12.75" customHeight="1" x14ac:dyDescent="0.2">
      <c r="A253" s="129"/>
      <c r="B253" s="129"/>
      <c r="C253" s="143"/>
      <c r="D253" s="138"/>
      <c r="E253" s="129"/>
      <c r="F253" s="138"/>
      <c r="G253" s="138"/>
      <c r="H253" s="138"/>
      <c r="I253" s="138"/>
      <c r="J253" s="138"/>
      <c r="K253" s="130"/>
      <c r="L253" s="130"/>
      <c r="M253" s="130"/>
      <c r="N253" s="130"/>
      <c r="O253" s="130"/>
      <c r="P253" s="130"/>
      <c r="Q253" s="130"/>
      <c r="R253" s="130"/>
      <c r="S253" s="129"/>
      <c r="T253" s="129"/>
      <c r="U253" s="129"/>
      <c r="V253" s="130"/>
      <c r="W253" s="130"/>
      <c r="X253" s="130"/>
      <c r="Y253" s="130"/>
      <c r="Z253" s="152"/>
      <c r="AA253" s="130"/>
      <c r="AB253" s="130"/>
      <c r="AC253" s="130"/>
    </row>
    <row r="254" spans="1:29" ht="12.75" customHeight="1" x14ac:dyDescent="0.2">
      <c r="A254" s="129"/>
      <c r="B254" s="129"/>
      <c r="C254" s="143"/>
      <c r="D254" s="138"/>
      <c r="E254" s="129"/>
      <c r="F254" s="138"/>
      <c r="G254" s="138"/>
      <c r="H254" s="138"/>
      <c r="I254" s="138"/>
      <c r="J254" s="138"/>
      <c r="K254" s="130"/>
      <c r="L254" s="130"/>
      <c r="M254" s="130"/>
      <c r="N254" s="130"/>
      <c r="O254" s="130"/>
      <c r="P254" s="130"/>
      <c r="Q254" s="130"/>
      <c r="R254" s="130"/>
      <c r="S254" s="129"/>
      <c r="T254" s="129"/>
      <c r="U254" s="129"/>
      <c r="V254" s="130"/>
      <c r="W254" s="130"/>
      <c r="X254" s="130"/>
      <c r="Y254" s="130"/>
      <c r="Z254" s="152"/>
      <c r="AA254" s="130"/>
      <c r="AB254" s="130"/>
      <c r="AC254" s="130"/>
    </row>
    <row r="255" spans="1:29" ht="12.75" customHeight="1" x14ac:dyDescent="0.2">
      <c r="A255" s="129"/>
      <c r="B255" s="129"/>
      <c r="C255" s="143"/>
      <c r="D255" s="138"/>
      <c r="E255" s="129"/>
      <c r="F255" s="138"/>
      <c r="G255" s="138"/>
      <c r="H255" s="138"/>
      <c r="I255" s="138"/>
      <c r="J255" s="138"/>
      <c r="K255" s="130"/>
      <c r="L255" s="130"/>
      <c r="M255" s="130"/>
      <c r="N255" s="130"/>
      <c r="O255" s="130"/>
      <c r="P255" s="130"/>
      <c r="Q255" s="130"/>
      <c r="R255" s="130"/>
      <c r="S255" s="129"/>
      <c r="T255" s="129"/>
      <c r="U255" s="129"/>
      <c r="V255" s="130"/>
      <c r="W255" s="130"/>
      <c r="X255" s="130"/>
      <c r="Y255" s="130"/>
      <c r="Z255" s="152"/>
      <c r="AA255" s="130"/>
      <c r="AB255" s="130"/>
      <c r="AC255" s="130"/>
    </row>
    <row r="256" spans="1:29" ht="12.75" customHeight="1" x14ac:dyDescent="0.2">
      <c r="A256" s="129"/>
      <c r="B256" s="129"/>
      <c r="C256" s="143"/>
      <c r="D256" s="138"/>
      <c r="E256" s="129"/>
      <c r="F256" s="138"/>
      <c r="G256" s="138"/>
      <c r="H256" s="138"/>
      <c r="I256" s="138"/>
      <c r="J256" s="138"/>
      <c r="K256" s="130"/>
      <c r="L256" s="130"/>
      <c r="M256" s="130"/>
      <c r="N256" s="130"/>
      <c r="O256" s="130"/>
      <c r="P256" s="130"/>
      <c r="Q256" s="130"/>
      <c r="R256" s="130"/>
      <c r="S256" s="129"/>
      <c r="T256" s="129"/>
      <c r="U256" s="129"/>
      <c r="V256" s="130"/>
      <c r="W256" s="130"/>
      <c r="X256" s="130"/>
      <c r="Y256" s="130"/>
      <c r="Z256" s="152"/>
      <c r="AA256" s="130"/>
      <c r="AB256" s="130"/>
      <c r="AC256" s="130"/>
    </row>
    <row r="257" spans="1:29" ht="12.75" customHeight="1" x14ac:dyDescent="0.2">
      <c r="A257" s="129"/>
      <c r="B257" s="129"/>
      <c r="C257" s="143"/>
      <c r="D257" s="138"/>
      <c r="E257" s="129"/>
      <c r="F257" s="138"/>
      <c r="G257" s="138"/>
      <c r="H257" s="138"/>
      <c r="I257" s="138"/>
      <c r="J257" s="138"/>
      <c r="K257" s="130"/>
      <c r="L257" s="130"/>
      <c r="M257" s="130"/>
      <c r="N257" s="130"/>
      <c r="O257" s="130"/>
      <c r="P257" s="130"/>
      <c r="Q257" s="130"/>
      <c r="R257" s="130"/>
      <c r="S257" s="129"/>
      <c r="T257" s="129"/>
      <c r="U257" s="129"/>
      <c r="V257" s="130"/>
      <c r="W257" s="130"/>
      <c r="X257" s="130"/>
      <c r="Y257" s="130"/>
      <c r="Z257" s="152"/>
      <c r="AA257" s="130"/>
      <c r="AB257" s="130"/>
      <c r="AC257" s="130"/>
    </row>
    <row r="258" spans="1:29" ht="12.75" customHeight="1" x14ac:dyDescent="0.2">
      <c r="A258" s="129"/>
      <c r="B258" s="129"/>
      <c r="C258" s="143"/>
      <c r="D258" s="138"/>
      <c r="E258" s="129"/>
      <c r="F258" s="138"/>
      <c r="G258" s="138"/>
      <c r="H258" s="138"/>
      <c r="I258" s="138"/>
      <c r="J258" s="138"/>
      <c r="K258" s="130"/>
      <c r="L258" s="130"/>
      <c r="M258" s="130"/>
      <c r="N258" s="130"/>
      <c r="O258" s="130"/>
      <c r="P258" s="130"/>
      <c r="Q258" s="130"/>
      <c r="R258" s="130"/>
      <c r="S258" s="129"/>
      <c r="T258" s="129"/>
      <c r="U258" s="129"/>
      <c r="V258" s="130"/>
      <c r="W258" s="130"/>
      <c r="X258" s="130"/>
      <c r="Y258" s="130"/>
      <c r="Z258" s="152"/>
      <c r="AA258" s="130"/>
      <c r="AB258" s="130"/>
      <c r="AC258" s="130"/>
    </row>
    <row r="259" spans="1:29" ht="12.75" customHeight="1" x14ac:dyDescent="0.2">
      <c r="A259" s="129"/>
      <c r="B259" s="129"/>
      <c r="C259" s="143"/>
      <c r="D259" s="138"/>
      <c r="E259" s="129"/>
      <c r="F259" s="138"/>
      <c r="G259" s="138"/>
      <c r="H259" s="138"/>
      <c r="I259" s="138"/>
      <c r="J259" s="138"/>
      <c r="K259" s="130"/>
      <c r="L259" s="130"/>
      <c r="M259" s="130"/>
      <c r="N259" s="130"/>
      <c r="O259" s="130"/>
      <c r="P259" s="130"/>
      <c r="Q259" s="130"/>
      <c r="R259" s="130"/>
      <c r="S259" s="129"/>
      <c r="T259" s="129"/>
      <c r="U259" s="129"/>
      <c r="V259" s="130"/>
      <c r="W259" s="130"/>
      <c r="X259" s="130"/>
      <c r="Y259" s="130"/>
      <c r="Z259" s="152"/>
      <c r="AA259" s="130"/>
      <c r="AB259" s="130"/>
      <c r="AC259" s="130"/>
    </row>
    <row r="260" spans="1:29" ht="12.75" customHeight="1" x14ac:dyDescent="0.2">
      <c r="A260" s="129"/>
      <c r="B260" s="129"/>
      <c r="C260" s="143"/>
      <c r="D260" s="138"/>
      <c r="E260" s="129"/>
      <c r="F260" s="138"/>
      <c r="G260" s="138"/>
      <c r="H260" s="138"/>
      <c r="I260" s="138"/>
      <c r="J260" s="138"/>
      <c r="K260" s="130"/>
      <c r="L260" s="130"/>
      <c r="M260" s="130"/>
      <c r="N260" s="130"/>
      <c r="O260" s="130"/>
      <c r="P260" s="130"/>
      <c r="Q260" s="130"/>
      <c r="R260" s="130"/>
      <c r="S260" s="129"/>
      <c r="T260" s="129"/>
      <c r="U260" s="129"/>
      <c r="V260" s="130"/>
      <c r="W260" s="130"/>
      <c r="X260" s="130"/>
      <c r="Y260" s="130"/>
      <c r="Z260" s="152"/>
      <c r="AA260" s="130"/>
      <c r="AB260" s="130"/>
      <c r="AC260" s="130"/>
    </row>
    <row r="261" spans="1:29" ht="12.75" customHeight="1" x14ac:dyDescent="0.2">
      <c r="A261" s="129"/>
      <c r="B261" s="129"/>
      <c r="C261" s="143"/>
      <c r="D261" s="138"/>
      <c r="E261" s="129"/>
      <c r="F261" s="138"/>
      <c r="G261" s="138"/>
      <c r="H261" s="138"/>
      <c r="I261" s="138"/>
      <c r="J261" s="138"/>
      <c r="K261" s="130"/>
      <c r="L261" s="130"/>
      <c r="M261" s="130"/>
      <c r="N261" s="130"/>
      <c r="O261" s="130"/>
      <c r="P261" s="130"/>
      <c r="Q261" s="130"/>
      <c r="R261" s="130"/>
      <c r="S261" s="129"/>
      <c r="T261" s="129"/>
      <c r="U261" s="129"/>
      <c r="V261" s="130"/>
      <c r="W261" s="130"/>
      <c r="X261" s="130"/>
      <c r="Y261" s="130"/>
      <c r="Z261" s="152"/>
      <c r="AA261" s="130"/>
      <c r="AB261" s="130"/>
      <c r="AC261" s="130"/>
    </row>
    <row r="262" spans="1:29" ht="12.75" customHeight="1" x14ac:dyDescent="0.2">
      <c r="A262" s="129"/>
      <c r="B262" s="129"/>
      <c r="C262" s="143"/>
      <c r="D262" s="138"/>
      <c r="E262" s="129"/>
      <c r="F262" s="138"/>
      <c r="G262" s="138"/>
      <c r="H262" s="138"/>
      <c r="I262" s="138"/>
      <c r="J262" s="138"/>
      <c r="K262" s="130"/>
      <c r="L262" s="130"/>
      <c r="M262" s="130"/>
      <c r="N262" s="130"/>
      <c r="O262" s="130"/>
      <c r="P262" s="130"/>
      <c r="Q262" s="130"/>
      <c r="R262" s="130"/>
      <c r="S262" s="129"/>
      <c r="T262" s="129"/>
      <c r="U262" s="129"/>
      <c r="V262" s="130"/>
      <c r="W262" s="130"/>
      <c r="X262" s="130"/>
      <c r="Y262" s="130"/>
      <c r="Z262" s="152"/>
      <c r="AA262" s="130"/>
      <c r="AB262" s="130"/>
      <c r="AC262" s="130"/>
    </row>
    <row r="263" spans="1:29" ht="12.75" customHeight="1" x14ac:dyDescent="0.2">
      <c r="A263" s="129"/>
      <c r="B263" s="129"/>
      <c r="C263" s="143"/>
      <c r="D263" s="138"/>
      <c r="E263" s="129"/>
      <c r="F263" s="138"/>
      <c r="G263" s="138"/>
      <c r="H263" s="138"/>
      <c r="I263" s="138"/>
      <c r="J263" s="138"/>
      <c r="K263" s="130"/>
      <c r="L263" s="130"/>
      <c r="M263" s="130"/>
      <c r="N263" s="130"/>
      <c r="O263" s="130"/>
      <c r="P263" s="130"/>
      <c r="Q263" s="130"/>
      <c r="R263" s="130"/>
      <c r="S263" s="129"/>
      <c r="T263" s="129"/>
      <c r="U263" s="129"/>
      <c r="V263" s="130"/>
      <c r="W263" s="130"/>
      <c r="X263" s="130"/>
      <c r="Y263" s="130"/>
      <c r="Z263" s="152"/>
      <c r="AA263" s="130"/>
      <c r="AB263" s="130"/>
      <c r="AC263" s="130"/>
    </row>
    <row r="264" spans="1:29" ht="12.75" customHeight="1" x14ac:dyDescent="0.2">
      <c r="A264" s="129"/>
      <c r="B264" s="129"/>
      <c r="C264" s="143"/>
      <c r="D264" s="138"/>
      <c r="E264" s="129"/>
      <c r="F264" s="138"/>
      <c r="G264" s="138"/>
      <c r="H264" s="138"/>
      <c r="I264" s="138"/>
      <c r="J264" s="138"/>
      <c r="K264" s="130"/>
      <c r="L264" s="130"/>
      <c r="M264" s="130"/>
      <c r="N264" s="130"/>
      <c r="O264" s="130"/>
      <c r="P264" s="130"/>
      <c r="Q264" s="130"/>
      <c r="R264" s="130"/>
      <c r="S264" s="129"/>
      <c r="T264" s="129"/>
      <c r="U264" s="129"/>
      <c r="V264" s="130"/>
      <c r="W264" s="130"/>
      <c r="X264" s="130"/>
      <c r="Y264" s="130"/>
      <c r="Z264" s="152"/>
      <c r="AA264" s="130"/>
      <c r="AB264" s="130"/>
      <c r="AC264" s="130"/>
    </row>
    <row r="265" spans="1:29" ht="12.75" customHeight="1" x14ac:dyDescent="0.2">
      <c r="A265" s="129"/>
      <c r="B265" s="129"/>
      <c r="C265" s="143"/>
      <c r="D265" s="138"/>
      <c r="E265" s="129"/>
      <c r="F265" s="138"/>
      <c r="G265" s="138"/>
      <c r="H265" s="138"/>
      <c r="I265" s="138"/>
      <c r="J265" s="138"/>
      <c r="K265" s="130"/>
      <c r="L265" s="130"/>
      <c r="M265" s="130"/>
      <c r="N265" s="130"/>
      <c r="O265" s="130"/>
      <c r="P265" s="130"/>
      <c r="Q265" s="130"/>
      <c r="R265" s="130"/>
      <c r="S265" s="129"/>
      <c r="T265" s="129"/>
      <c r="U265" s="129"/>
      <c r="V265" s="130"/>
      <c r="W265" s="130"/>
      <c r="X265" s="130"/>
      <c r="Y265" s="130"/>
      <c r="Z265" s="152"/>
      <c r="AA265" s="130"/>
      <c r="AB265" s="130"/>
      <c r="AC265" s="130"/>
    </row>
    <row r="266" spans="1:29" ht="12.75" customHeight="1" x14ac:dyDescent="0.2">
      <c r="A266" s="129"/>
      <c r="B266" s="129"/>
      <c r="C266" s="143"/>
      <c r="D266" s="138"/>
      <c r="E266" s="129"/>
      <c r="F266" s="138"/>
      <c r="G266" s="138"/>
      <c r="H266" s="138"/>
      <c r="I266" s="138"/>
      <c r="J266" s="138"/>
      <c r="K266" s="130"/>
      <c r="L266" s="130"/>
      <c r="M266" s="130"/>
      <c r="N266" s="130"/>
      <c r="O266" s="130"/>
      <c r="P266" s="130"/>
      <c r="Q266" s="130"/>
      <c r="R266" s="130"/>
      <c r="S266" s="129"/>
      <c r="T266" s="129"/>
      <c r="U266" s="129"/>
      <c r="V266" s="130"/>
      <c r="W266" s="130"/>
      <c r="X266" s="130"/>
      <c r="Y266" s="130"/>
      <c r="Z266" s="152"/>
      <c r="AA266" s="130"/>
      <c r="AB266" s="130"/>
      <c r="AC266" s="130"/>
    </row>
    <row r="267" spans="1:29" ht="12.75" customHeight="1" x14ac:dyDescent="0.2">
      <c r="A267" s="129"/>
      <c r="B267" s="129"/>
      <c r="C267" s="143"/>
      <c r="D267" s="138"/>
      <c r="E267" s="129"/>
      <c r="F267" s="138"/>
      <c r="G267" s="138"/>
      <c r="H267" s="138"/>
      <c r="I267" s="138"/>
      <c r="J267" s="138"/>
      <c r="K267" s="130"/>
      <c r="L267" s="130"/>
      <c r="M267" s="130"/>
      <c r="N267" s="130"/>
      <c r="O267" s="130"/>
      <c r="P267" s="130"/>
      <c r="Q267" s="130"/>
      <c r="R267" s="130"/>
      <c r="S267" s="129"/>
      <c r="T267" s="129"/>
      <c r="U267" s="129"/>
      <c r="V267" s="130"/>
      <c r="W267" s="130"/>
      <c r="X267" s="130"/>
      <c r="Y267" s="130"/>
      <c r="Z267" s="152"/>
      <c r="AA267" s="130"/>
      <c r="AB267" s="130"/>
      <c r="AC267" s="130"/>
    </row>
    <row r="268" spans="1:29" ht="12.75" customHeight="1" x14ac:dyDescent="0.2">
      <c r="A268" s="129"/>
      <c r="B268" s="129"/>
      <c r="C268" s="143"/>
      <c r="D268" s="138"/>
      <c r="E268" s="129"/>
      <c r="F268" s="138"/>
      <c r="G268" s="138"/>
      <c r="H268" s="138"/>
      <c r="I268" s="138"/>
      <c r="J268" s="138"/>
      <c r="K268" s="130"/>
      <c r="L268" s="130"/>
      <c r="M268" s="130"/>
      <c r="N268" s="130"/>
      <c r="O268" s="130"/>
      <c r="P268" s="130"/>
      <c r="Q268" s="130"/>
      <c r="R268" s="130"/>
      <c r="S268" s="129"/>
      <c r="T268" s="129"/>
      <c r="U268" s="129"/>
      <c r="V268" s="130"/>
      <c r="W268" s="130"/>
      <c r="X268" s="130"/>
      <c r="Y268" s="130"/>
      <c r="Z268" s="152"/>
      <c r="AA268" s="130"/>
      <c r="AB268" s="130"/>
      <c r="AC268" s="130"/>
    </row>
    <row r="269" spans="1:29" ht="12.75" customHeight="1" x14ac:dyDescent="0.2">
      <c r="A269" s="129"/>
      <c r="B269" s="129"/>
      <c r="C269" s="143"/>
      <c r="D269" s="138"/>
      <c r="E269" s="129"/>
      <c r="F269" s="138"/>
      <c r="G269" s="138"/>
      <c r="H269" s="138"/>
      <c r="I269" s="138"/>
      <c r="J269" s="138"/>
      <c r="K269" s="130"/>
      <c r="L269" s="130"/>
      <c r="M269" s="130"/>
      <c r="N269" s="130"/>
      <c r="O269" s="130"/>
      <c r="P269" s="130"/>
      <c r="Q269" s="130"/>
      <c r="R269" s="130"/>
      <c r="S269" s="129"/>
      <c r="T269" s="129"/>
      <c r="U269" s="129"/>
      <c r="V269" s="130"/>
      <c r="W269" s="130"/>
      <c r="X269" s="130"/>
      <c r="Y269" s="130"/>
      <c r="Z269" s="152"/>
      <c r="AA269" s="130"/>
      <c r="AB269" s="130"/>
      <c r="AC269" s="130"/>
    </row>
    <row r="270" spans="1:29" ht="12.75" customHeight="1" x14ac:dyDescent="0.2">
      <c r="A270" s="129"/>
      <c r="B270" s="129"/>
      <c r="C270" s="143"/>
      <c r="D270" s="138"/>
      <c r="E270" s="129"/>
      <c r="F270" s="138"/>
      <c r="G270" s="138"/>
      <c r="H270" s="138"/>
      <c r="I270" s="138"/>
      <c r="J270" s="138"/>
      <c r="K270" s="130"/>
      <c r="L270" s="130"/>
      <c r="M270" s="130"/>
      <c r="N270" s="130"/>
      <c r="O270" s="130"/>
      <c r="P270" s="130"/>
      <c r="Q270" s="130"/>
      <c r="R270" s="130"/>
      <c r="S270" s="129"/>
      <c r="T270" s="129"/>
      <c r="U270" s="129"/>
      <c r="V270" s="130"/>
      <c r="W270" s="130"/>
      <c r="X270" s="130"/>
      <c r="Y270" s="130"/>
      <c r="Z270" s="152"/>
      <c r="AA270" s="130"/>
      <c r="AB270" s="130"/>
      <c r="AC270" s="130"/>
    </row>
    <row r="271" spans="1:29" ht="12.75" customHeight="1" x14ac:dyDescent="0.2">
      <c r="A271" s="129"/>
      <c r="B271" s="129"/>
      <c r="C271" s="143"/>
      <c r="D271" s="138"/>
      <c r="E271" s="129"/>
      <c r="F271" s="138"/>
      <c r="G271" s="138"/>
      <c r="H271" s="138"/>
      <c r="I271" s="138"/>
      <c r="J271" s="138"/>
      <c r="K271" s="130"/>
      <c r="L271" s="130"/>
      <c r="M271" s="130"/>
      <c r="N271" s="130"/>
      <c r="O271" s="130"/>
      <c r="P271" s="130"/>
      <c r="Q271" s="130"/>
      <c r="R271" s="130"/>
      <c r="S271" s="129"/>
      <c r="T271" s="129"/>
      <c r="U271" s="129"/>
      <c r="V271" s="130"/>
      <c r="W271" s="130"/>
      <c r="X271" s="130"/>
      <c r="Y271" s="130"/>
      <c r="Z271" s="152"/>
      <c r="AA271" s="130"/>
      <c r="AB271" s="130"/>
      <c r="AC271" s="130"/>
    </row>
    <row r="272" spans="1:29" ht="12.75" customHeight="1" x14ac:dyDescent="0.2">
      <c r="A272" s="129"/>
      <c r="B272" s="129"/>
      <c r="C272" s="143"/>
      <c r="D272" s="138"/>
      <c r="E272" s="129"/>
      <c r="F272" s="138"/>
      <c r="G272" s="138"/>
      <c r="H272" s="138"/>
      <c r="I272" s="138"/>
      <c r="J272" s="138"/>
      <c r="K272" s="130"/>
      <c r="L272" s="130"/>
      <c r="M272" s="130"/>
      <c r="N272" s="130"/>
      <c r="O272" s="130"/>
      <c r="P272" s="130"/>
      <c r="Q272" s="130"/>
      <c r="R272" s="130"/>
      <c r="S272" s="129"/>
      <c r="T272" s="129"/>
      <c r="U272" s="129"/>
      <c r="V272" s="130"/>
      <c r="W272" s="130"/>
      <c r="X272" s="130"/>
      <c r="Y272" s="130"/>
      <c r="Z272" s="152"/>
      <c r="AA272" s="130"/>
      <c r="AB272" s="130"/>
      <c r="AC272" s="130"/>
    </row>
    <row r="273" spans="1:29" ht="12.75" customHeight="1" x14ac:dyDescent="0.2">
      <c r="A273" s="129"/>
      <c r="B273" s="129"/>
      <c r="C273" s="143"/>
      <c r="D273" s="138"/>
      <c r="E273" s="129"/>
      <c r="F273" s="138"/>
      <c r="G273" s="138"/>
      <c r="H273" s="138"/>
      <c r="I273" s="138"/>
      <c r="J273" s="138"/>
      <c r="K273" s="130"/>
      <c r="L273" s="130"/>
      <c r="M273" s="130"/>
      <c r="N273" s="130"/>
      <c r="O273" s="130"/>
      <c r="P273" s="130"/>
      <c r="Q273" s="130"/>
      <c r="R273" s="130"/>
      <c r="S273" s="129"/>
      <c r="T273" s="129"/>
      <c r="U273" s="129"/>
      <c r="V273" s="130"/>
      <c r="W273" s="130"/>
      <c r="X273" s="130"/>
      <c r="Y273" s="130"/>
      <c r="Z273" s="152"/>
      <c r="AA273" s="130"/>
      <c r="AB273" s="130"/>
      <c r="AC273" s="130"/>
    </row>
    <row r="274" spans="1:29" ht="12.75" customHeight="1" x14ac:dyDescent="0.2">
      <c r="A274" s="129"/>
      <c r="B274" s="129"/>
      <c r="C274" s="143"/>
      <c r="D274" s="138"/>
      <c r="E274" s="129"/>
      <c r="F274" s="138"/>
      <c r="G274" s="138"/>
      <c r="H274" s="138"/>
      <c r="I274" s="138"/>
      <c r="J274" s="138"/>
      <c r="K274" s="130"/>
      <c r="L274" s="130"/>
      <c r="M274" s="130"/>
      <c r="N274" s="130"/>
      <c r="O274" s="130"/>
      <c r="P274" s="130"/>
      <c r="Q274" s="130"/>
      <c r="R274" s="130"/>
      <c r="S274" s="129"/>
      <c r="T274" s="129"/>
      <c r="U274" s="129"/>
      <c r="V274" s="130"/>
      <c r="W274" s="130"/>
      <c r="X274" s="130"/>
      <c r="Y274" s="130"/>
      <c r="Z274" s="152"/>
      <c r="AA274" s="130"/>
      <c r="AB274" s="130"/>
      <c r="AC274" s="130"/>
    </row>
    <row r="275" spans="1:29" ht="12.75" customHeight="1" x14ac:dyDescent="0.2">
      <c r="A275" s="129"/>
      <c r="B275" s="129"/>
      <c r="C275" s="143"/>
      <c r="D275" s="138"/>
      <c r="E275" s="129"/>
      <c r="F275" s="138"/>
      <c r="G275" s="138"/>
      <c r="H275" s="138"/>
      <c r="I275" s="138"/>
      <c r="J275" s="138"/>
      <c r="K275" s="130"/>
      <c r="L275" s="130"/>
      <c r="M275" s="130"/>
      <c r="N275" s="130"/>
      <c r="O275" s="130"/>
      <c r="P275" s="130"/>
      <c r="Q275" s="130"/>
      <c r="R275" s="130"/>
      <c r="S275" s="129"/>
      <c r="T275" s="129"/>
      <c r="U275" s="129"/>
      <c r="V275" s="130"/>
      <c r="W275" s="130"/>
      <c r="X275" s="130"/>
      <c r="Y275" s="130"/>
      <c r="Z275" s="152"/>
      <c r="AA275" s="130"/>
      <c r="AB275" s="130"/>
      <c r="AC275" s="130"/>
    </row>
    <row r="276" spans="1:29" ht="12.75" customHeight="1" x14ac:dyDescent="0.2">
      <c r="A276" s="129"/>
      <c r="B276" s="129"/>
      <c r="C276" s="143"/>
      <c r="D276" s="138"/>
      <c r="E276" s="129"/>
      <c r="F276" s="138"/>
      <c r="G276" s="138"/>
      <c r="H276" s="138"/>
      <c r="I276" s="138"/>
      <c r="J276" s="138"/>
      <c r="K276" s="130"/>
      <c r="L276" s="130"/>
      <c r="M276" s="130"/>
      <c r="N276" s="130"/>
      <c r="O276" s="130"/>
      <c r="P276" s="130"/>
      <c r="Q276" s="130"/>
      <c r="R276" s="130"/>
      <c r="S276" s="129"/>
      <c r="T276" s="129"/>
      <c r="U276" s="129"/>
      <c r="V276" s="130"/>
      <c r="W276" s="130"/>
      <c r="X276" s="130"/>
      <c r="Y276" s="130"/>
      <c r="Z276" s="152"/>
      <c r="AA276" s="130"/>
      <c r="AB276" s="130"/>
      <c r="AC276" s="130"/>
    </row>
    <row r="277" spans="1:29" ht="12.75" customHeight="1" x14ac:dyDescent="0.2">
      <c r="A277" s="129"/>
      <c r="B277" s="129"/>
      <c r="C277" s="143"/>
      <c r="D277" s="138"/>
      <c r="E277" s="129"/>
      <c r="F277" s="138"/>
      <c r="G277" s="138"/>
      <c r="H277" s="138"/>
      <c r="I277" s="138"/>
      <c r="J277" s="138"/>
      <c r="K277" s="130"/>
      <c r="L277" s="130"/>
      <c r="M277" s="130"/>
      <c r="N277" s="130"/>
      <c r="O277" s="130"/>
      <c r="P277" s="130"/>
      <c r="Q277" s="130"/>
      <c r="R277" s="130"/>
      <c r="S277" s="129"/>
      <c r="T277" s="129"/>
      <c r="U277" s="129"/>
      <c r="V277" s="130"/>
      <c r="W277" s="130"/>
      <c r="X277" s="130"/>
      <c r="Y277" s="130"/>
      <c r="Z277" s="152"/>
      <c r="AA277" s="130"/>
      <c r="AB277" s="130"/>
      <c r="AC277" s="130"/>
    </row>
    <row r="278" spans="1:29" ht="12.75" customHeight="1" x14ac:dyDescent="0.2">
      <c r="A278" s="129"/>
      <c r="B278" s="129"/>
      <c r="C278" s="143"/>
      <c r="D278" s="138"/>
      <c r="E278" s="129"/>
      <c r="F278" s="138"/>
      <c r="G278" s="138"/>
      <c r="H278" s="138"/>
      <c r="I278" s="138"/>
      <c r="J278" s="138"/>
      <c r="K278" s="130"/>
      <c r="L278" s="130"/>
      <c r="M278" s="130"/>
      <c r="N278" s="130"/>
      <c r="O278" s="130"/>
      <c r="P278" s="130"/>
      <c r="Q278" s="130"/>
      <c r="R278" s="130"/>
      <c r="S278" s="129"/>
      <c r="T278" s="129"/>
      <c r="U278" s="129"/>
      <c r="V278" s="130"/>
      <c r="W278" s="130"/>
      <c r="X278" s="130"/>
      <c r="Y278" s="130"/>
      <c r="Z278" s="152"/>
      <c r="AA278" s="130"/>
      <c r="AB278" s="130"/>
      <c r="AC278" s="130"/>
    </row>
    <row r="279" spans="1:29" ht="12.75" customHeight="1" x14ac:dyDescent="0.2">
      <c r="A279" s="129"/>
      <c r="B279" s="129"/>
      <c r="C279" s="143"/>
      <c r="D279" s="138"/>
      <c r="E279" s="129"/>
      <c r="F279" s="138"/>
      <c r="G279" s="138"/>
      <c r="H279" s="138"/>
      <c r="I279" s="138"/>
      <c r="J279" s="138"/>
      <c r="K279" s="130"/>
      <c r="L279" s="130"/>
      <c r="M279" s="130"/>
      <c r="N279" s="130"/>
      <c r="O279" s="130"/>
      <c r="P279" s="130"/>
      <c r="Q279" s="130"/>
      <c r="R279" s="130"/>
      <c r="S279" s="129"/>
      <c r="T279" s="129"/>
      <c r="U279" s="129"/>
      <c r="V279" s="130"/>
      <c r="W279" s="130"/>
      <c r="X279" s="130"/>
      <c r="Y279" s="130"/>
      <c r="Z279" s="152"/>
      <c r="AA279" s="130"/>
      <c r="AB279" s="130"/>
      <c r="AC279" s="130"/>
    </row>
    <row r="280" spans="1:29" ht="12.75" customHeight="1" x14ac:dyDescent="0.2">
      <c r="A280" s="129"/>
      <c r="B280" s="129"/>
      <c r="C280" s="143"/>
      <c r="D280" s="138"/>
      <c r="E280" s="129"/>
      <c r="F280" s="138"/>
      <c r="G280" s="138"/>
      <c r="H280" s="138"/>
      <c r="I280" s="138"/>
      <c r="J280" s="138"/>
      <c r="K280" s="130"/>
      <c r="L280" s="130"/>
      <c r="M280" s="130"/>
      <c r="N280" s="130"/>
      <c r="O280" s="130"/>
      <c r="P280" s="130"/>
      <c r="Q280" s="130"/>
      <c r="R280" s="130"/>
      <c r="S280" s="129"/>
      <c r="T280" s="129"/>
      <c r="U280" s="129"/>
      <c r="V280" s="130"/>
      <c r="W280" s="130"/>
      <c r="X280" s="130"/>
      <c r="Y280" s="130"/>
      <c r="Z280" s="152"/>
      <c r="AA280" s="130"/>
      <c r="AB280" s="130"/>
      <c r="AC280" s="130"/>
    </row>
    <row r="281" spans="1:29" ht="12.75" customHeight="1" x14ac:dyDescent="0.2">
      <c r="A281" s="129"/>
      <c r="B281" s="129"/>
      <c r="C281" s="143"/>
      <c r="D281" s="138"/>
      <c r="E281" s="129"/>
      <c r="F281" s="138"/>
      <c r="G281" s="138"/>
      <c r="H281" s="138"/>
      <c r="I281" s="138"/>
      <c r="J281" s="138"/>
      <c r="K281" s="130"/>
      <c r="L281" s="130"/>
      <c r="M281" s="130"/>
      <c r="N281" s="130"/>
      <c r="O281" s="130"/>
      <c r="P281" s="130"/>
      <c r="Q281" s="130"/>
      <c r="R281" s="130"/>
      <c r="S281" s="129"/>
      <c r="T281" s="129"/>
      <c r="U281" s="129"/>
      <c r="V281" s="130"/>
      <c r="W281" s="130"/>
      <c r="X281" s="130"/>
      <c r="Y281" s="130"/>
      <c r="Z281" s="152"/>
      <c r="AA281" s="130"/>
      <c r="AB281" s="130"/>
      <c r="AC281" s="130"/>
    </row>
    <row r="282" spans="1:29" ht="12.75" customHeight="1" x14ac:dyDescent="0.2">
      <c r="A282" s="129"/>
      <c r="B282" s="129"/>
      <c r="C282" s="143"/>
      <c r="D282" s="138"/>
      <c r="E282" s="129"/>
      <c r="F282" s="138"/>
      <c r="G282" s="138"/>
      <c r="H282" s="138"/>
      <c r="I282" s="138"/>
      <c r="J282" s="138"/>
      <c r="K282" s="130"/>
      <c r="L282" s="130"/>
      <c r="M282" s="130"/>
      <c r="N282" s="130"/>
      <c r="O282" s="130"/>
      <c r="P282" s="130"/>
      <c r="Q282" s="130"/>
      <c r="R282" s="130"/>
      <c r="S282" s="129"/>
      <c r="T282" s="129"/>
      <c r="U282" s="129"/>
      <c r="V282" s="130"/>
      <c r="W282" s="130"/>
      <c r="X282" s="130"/>
      <c r="Y282" s="130"/>
      <c r="Z282" s="152"/>
      <c r="AA282" s="130"/>
      <c r="AB282" s="130"/>
      <c r="AC282" s="130"/>
    </row>
    <row r="283" spans="1:29" ht="12.75" customHeight="1" x14ac:dyDescent="0.2">
      <c r="A283" s="129"/>
      <c r="B283" s="129"/>
      <c r="C283" s="143"/>
      <c r="D283" s="138"/>
      <c r="E283" s="129"/>
      <c r="F283" s="138"/>
      <c r="G283" s="138"/>
      <c r="H283" s="138"/>
      <c r="I283" s="138"/>
      <c r="J283" s="138"/>
      <c r="K283" s="130"/>
      <c r="L283" s="130"/>
      <c r="M283" s="130"/>
      <c r="N283" s="130"/>
      <c r="O283" s="130"/>
      <c r="P283" s="130"/>
      <c r="Q283" s="130"/>
      <c r="R283" s="130"/>
      <c r="S283" s="129"/>
      <c r="T283" s="129"/>
      <c r="U283" s="129"/>
      <c r="V283" s="130"/>
      <c r="W283" s="130"/>
      <c r="X283" s="130"/>
      <c r="Y283" s="130"/>
      <c r="Z283" s="152"/>
      <c r="AA283" s="130"/>
      <c r="AB283" s="130"/>
      <c r="AC283" s="130"/>
    </row>
    <row r="284" spans="1:29" ht="12.75" customHeight="1" x14ac:dyDescent="0.2">
      <c r="A284" s="129"/>
      <c r="B284" s="129"/>
      <c r="C284" s="143"/>
      <c r="D284" s="138"/>
      <c r="E284" s="129"/>
      <c r="F284" s="138"/>
      <c r="G284" s="138"/>
      <c r="H284" s="138"/>
      <c r="I284" s="138"/>
      <c r="J284" s="138"/>
      <c r="K284" s="130"/>
      <c r="L284" s="130"/>
      <c r="M284" s="130"/>
      <c r="N284" s="130"/>
      <c r="O284" s="130"/>
      <c r="P284" s="130"/>
      <c r="Q284" s="130"/>
      <c r="R284" s="130"/>
      <c r="S284" s="129"/>
      <c r="T284" s="129"/>
      <c r="U284" s="129"/>
      <c r="V284" s="130"/>
      <c r="W284" s="130"/>
      <c r="X284" s="130"/>
      <c r="Y284" s="130"/>
      <c r="Z284" s="152"/>
      <c r="AA284" s="130"/>
      <c r="AB284" s="130"/>
      <c r="AC284" s="130"/>
    </row>
    <row r="285" spans="1:29" ht="12.75" customHeight="1" x14ac:dyDescent="0.2">
      <c r="A285" s="129"/>
      <c r="B285" s="129"/>
      <c r="C285" s="143"/>
      <c r="D285" s="138"/>
      <c r="E285" s="129"/>
      <c r="F285" s="138"/>
      <c r="G285" s="138"/>
      <c r="H285" s="138"/>
      <c r="I285" s="138"/>
      <c r="J285" s="138"/>
      <c r="K285" s="130"/>
      <c r="L285" s="130"/>
      <c r="M285" s="130"/>
      <c r="N285" s="130"/>
      <c r="O285" s="130"/>
      <c r="P285" s="130"/>
      <c r="Q285" s="130"/>
      <c r="R285" s="130"/>
      <c r="S285" s="129"/>
      <c r="T285" s="129"/>
      <c r="U285" s="129"/>
      <c r="V285" s="130"/>
      <c r="W285" s="130"/>
      <c r="X285" s="130"/>
      <c r="Y285" s="130"/>
      <c r="Z285" s="152"/>
      <c r="AA285" s="130"/>
      <c r="AB285" s="130"/>
      <c r="AC285" s="130"/>
    </row>
    <row r="286" spans="1:29" ht="12.75" customHeight="1" x14ac:dyDescent="0.2">
      <c r="A286" s="129"/>
      <c r="B286" s="129"/>
      <c r="C286" s="143"/>
      <c r="D286" s="138"/>
      <c r="E286" s="129"/>
      <c r="F286" s="138"/>
      <c r="G286" s="138"/>
      <c r="H286" s="138"/>
      <c r="I286" s="138"/>
      <c r="J286" s="138"/>
      <c r="K286" s="130"/>
      <c r="L286" s="130"/>
      <c r="M286" s="130"/>
      <c r="N286" s="130"/>
      <c r="O286" s="130"/>
      <c r="P286" s="130"/>
      <c r="Q286" s="130"/>
      <c r="R286" s="130"/>
      <c r="S286" s="129"/>
      <c r="T286" s="129"/>
      <c r="U286" s="129"/>
      <c r="V286" s="130"/>
      <c r="W286" s="130"/>
      <c r="X286" s="130"/>
      <c r="Y286" s="130"/>
      <c r="Z286" s="152"/>
      <c r="AA286" s="130"/>
      <c r="AB286" s="130"/>
      <c r="AC286" s="130"/>
    </row>
    <row r="287" spans="1:29" ht="12.75" customHeight="1" x14ac:dyDescent="0.2">
      <c r="A287" s="129"/>
      <c r="B287" s="129"/>
      <c r="C287" s="143"/>
      <c r="D287" s="138"/>
      <c r="E287" s="129"/>
      <c r="F287" s="138"/>
      <c r="G287" s="138"/>
      <c r="H287" s="138"/>
      <c r="I287" s="138"/>
      <c r="J287" s="138"/>
      <c r="K287" s="130"/>
      <c r="L287" s="130"/>
      <c r="M287" s="130"/>
      <c r="N287" s="130"/>
      <c r="O287" s="130"/>
      <c r="P287" s="130"/>
      <c r="Q287" s="130"/>
      <c r="R287" s="130"/>
      <c r="S287" s="129"/>
      <c r="T287" s="129"/>
      <c r="U287" s="129"/>
      <c r="V287" s="130"/>
      <c r="W287" s="130"/>
      <c r="X287" s="130"/>
      <c r="Y287" s="130"/>
      <c r="Z287" s="152"/>
      <c r="AA287" s="130"/>
      <c r="AB287" s="130"/>
      <c r="AC287" s="130"/>
    </row>
    <row r="288" spans="1:29" ht="12.75" customHeight="1" x14ac:dyDescent="0.2">
      <c r="A288" s="129"/>
      <c r="B288" s="129"/>
      <c r="C288" s="143"/>
      <c r="D288" s="138"/>
      <c r="E288" s="129"/>
      <c r="F288" s="138"/>
      <c r="G288" s="138"/>
      <c r="H288" s="138"/>
      <c r="I288" s="138"/>
      <c r="J288" s="138"/>
      <c r="K288" s="130"/>
      <c r="L288" s="130"/>
      <c r="M288" s="130"/>
      <c r="N288" s="130"/>
      <c r="O288" s="130"/>
      <c r="P288" s="130"/>
      <c r="Q288" s="130"/>
      <c r="R288" s="130"/>
      <c r="S288" s="129"/>
      <c r="T288" s="129"/>
      <c r="U288" s="129"/>
      <c r="V288" s="130"/>
      <c r="W288" s="130"/>
      <c r="X288" s="130"/>
      <c r="Y288" s="130"/>
      <c r="Z288" s="152"/>
      <c r="AA288" s="130"/>
      <c r="AB288" s="130"/>
      <c r="AC288" s="130"/>
    </row>
    <row r="289" spans="1:42" ht="12.75" customHeight="1" x14ac:dyDescent="0.2">
      <c r="A289" s="129"/>
      <c r="B289" s="129"/>
      <c r="C289" s="143"/>
      <c r="D289" s="138"/>
      <c r="E289" s="129"/>
      <c r="F289" s="138"/>
      <c r="G289" s="138"/>
      <c r="H289" s="138"/>
      <c r="I289" s="138"/>
      <c r="J289" s="138"/>
      <c r="K289" s="130"/>
      <c r="L289" s="130"/>
      <c r="M289" s="130"/>
      <c r="N289" s="130"/>
      <c r="O289" s="130"/>
      <c r="P289" s="130"/>
      <c r="Q289" s="130"/>
      <c r="R289" s="130"/>
      <c r="S289" s="129"/>
      <c r="T289" s="129"/>
      <c r="U289" s="129"/>
      <c r="V289" s="130"/>
      <c r="W289" s="130"/>
      <c r="X289" s="130"/>
      <c r="Y289" s="130"/>
      <c r="Z289" s="152"/>
      <c r="AA289" s="130"/>
      <c r="AB289" s="130"/>
      <c r="AC289" s="130"/>
    </row>
    <row r="290" spans="1:42" ht="12.75" customHeight="1" x14ac:dyDescent="0.2">
      <c r="A290" s="129"/>
      <c r="B290" s="129"/>
      <c r="C290" s="143"/>
      <c r="D290" s="138"/>
      <c r="E290" s="129"/>
      <c r="F290" s="138"/>
      <c r="G290" s="138"/>
      <c r="H290" s="138"/>
      <c r="I290" s="138"/>
      <c r="J290" s="138"/>
      <c r="K290" s="130"/>
      <c r="L290" s="130"/>
      <c r="M290" s="130"/>
      <c r="N290" s="130"/>
      <c r="O290" s="130"/>
      <c r="P290" s="130"/>
      <c r="Q290" s="130"/>
      <c r="R290" s="130"/>
      <c r="S290" s="129"/>
      <c r="T290" s="129"/>
      <c r="U290" s="129"/>
      <c r="V290" s="130"/>
      <c r="W290" s="130"/>
      <c r="X290" s="130"/>
      <c r="Y290" s="130"/>
      <c r="Z290" s="152"/>
      <c r="AA290" s="130"/>
      <c r="AB290" s="130"/>
      <c r="AC290" s="130"/>
    </row>
    <row r="291" spans="1:42" ht="12.75" customHeight="1" x14ac:dyDescent="0.2">
      <c r="A291" s="129"/>
      <c r="B291" s="129"/>
      <c r="C291" s="143"/>
      <c r="D291" s="138"/>
      <c r="E291" s="129"/>
      <c r="F291" s="138"/>
      <c r="G291" s="138"/>
      <c r="H291" s="138"/>
      <c r="I291" s="138"/>
      <c r="J291" s="138"/>
      <c r="K291" s="130"/>
      <c r="L291" s="130"/>
      <c r="M291" s="130"/>
      <c r="N291" s="130"/>
      <c r="O291" s="130"/>
      <c r="P291" s="130"/>
      <c r="Q291" s="130"/>
      <c r="R291" s="130"/>
      <c r="S291" s="129"/>
      <c r="T291" s="129"/>
      <c r="U291" s="129"/>
      <c r="V291" s="130"/>
      <c r="W291" s="130"/>
      <c r="X291" s="130"/>
      <c r="Y291" s="130"/>
      <c r="Z291" s="152"/>
      <c r="AA291" s="130"/>
      <c r="AB291" s="130"/>
      <c r="AC291" s="130"/>
    </row>
    <row r="292" spans="1:42" ht="12.75" customHeight="1" x14ac:dyDescent="0.2">
      <c r="A292" s="129"/>
      <c r="B292" s="129"/>
      <c r="C292" s="143"/>
      <c r="D292" s="138"/>
      <c r="E292" s="129"/>
      <c r="F292" s="138"/>
      <c r="G292" s="138"/>
      <c r="H292" s="138"/>
      <c r="I292" s="138"/>
      <c r="J292" s="138"/>
      <c r="K292" s="130"/>
      <c r="L292" s="130"/>
      <c r="M292" s="130"/>
      <c r="N292" s="130"/>
      <c r="O292" s="130"/>
      <c r="P292" s="130"/>
      <c r="Q292" s="130"/>
      <c r="R292" s="130"/>
      <c r="S292" s="129"/>
      <c r="T292" s="129"/>
      <c r="U292" s="129"/>
      <c r="V292" s="130"/>
      <c r="W292" s="130"/>
      <c r="X292" s="130"/>
      <c r="Y292" s="130"/>
      <c r="Z292" s="152"/>
      <c r="AA292" s="130"/>
      <c r="AB292" s="130"/>
      <c r="AC292" s="130"/>
    </row>
    <row r="293" spans="1:42" ht="12.75" customHeight="1" x14ac:dyDescent="0.2">
      <c r="A293" s="129"/>
      <c r="B293" s="129"/>
      <c r="C293" s="143"/>
      <c r="D293" s="138"/>
      <c r="E293" s="129"/>
      <c r="F293" s="138"/>
      <c r="G293" s="138"/>
      <c r="H293" s="138"/>
      <c r="I293" s="138"/>
      <c r="J293" s="138"/>
      <c r="K293" s="130"/>
      <c r="L293" s="130"/>
      <c r="M293" s="130"/>
      <c r="N293" s="130"/>
      <c r="O293" s="130"/>
      <c r="P293" s="130"/>
      <c r="Q293" s="130"/>
      <c r="R293" s="130"/>
      <c r="S293" s="129"/>
      <c r="T293" s="129"/>
      <c r="U293" s="129"/>
      <c r="V293" s="130"/>
      <c r="W293" s="130"/>
      <c r="X293" s="130"/>
      <c r="Y293" s="130"/>
      <c r="Z293" s="152"/>
      <c r="AA293" s="130"/>
      <c r="AB293" s="130"/>
      <c r="AC293" s="130"/>
    </row>
    <row r="294" spans="1:42" ht="12.75" customHeight="1" x14ac:dyDescent="0.2">
      <c r="A294" s="129"/>
      <c r="B294" s="129"/>
      <c r="C294" s="143"/>
      <c r="D294" s="138"/>
      <c r="E294" s="129"/>
      <c r="F294" s="138"/>
      <c r="G294" s="138"/>
      <c r="H294" s="138"/>
      <c r="I294" s="138"/>
      <c r="J294" s="138"/>
      <c r="K294" s="130"/>
      <c r="L294" s="130"/>
      <c r="M294" s="130"/>
      <c r="N294" s="130"/>
      <c r="O294" s="130"/>
      <c r="P294" s="130"/>
      <c r="Q294" s="130"/>
      <c r="R294" s="130"/>
      <c r="S294" s="129"/>
      <c r="T294" s="129"/>
      <c r="U294" s="129"/>
      <c r="V294" s="130"/>
      <c r="W294" s="130"/>
      <c r="X294" s="130"/>
      <c r="Y294" s="130"/>
      <c r="Z294" s="152"/>
      <c r="AA294" s="130"/>
      <c r="AB294" s="130"/>
      <c r="AC294" s="130"/>
    </row>
    <row r="295" spans="1:42" ht="12.75" customHeight="1" x14ac:dyDescent="0.2">
      <c r="A295" s="129"/>
      <c r="B295" s="129"/>
      <c r="C295" s="143"/>
      <c r="D295" s="138"/>
      <c r="E295" s="129"/>
      <c r="F295" s="138"/>
      <c r="G295" s="138"/>
      <c r="H295" s="138"/>
      <c r="I295" s="138"/>
      <c r="J295" s="138"/>
      <c r="K295" s="130"/>
      <c r="L295" s="130"/>
      <c r="M295" s="130"/>
      <c r="N295" s="130"/>
      <c r="O295" s="130"/>
      <c r="P295" s="130"/>
      <c r="Q295" s="130"/>
      <c r="R295" s="130"/>
      <c r="S295" s="129"/>
      <c r="T295" s="129"/>
      <c r="U295" s="129"/>
      <c r="V295" s="130"/>
      <c r="W295" s="130"/>
      <c r="X295" s="130"/>
      <c r="Y295" s="130"/>
      <c r="Z295" s="152"/>
      <c r="AA295" s="130"/>
      <c r="AB295" s="130"/>
      <c r="AC295" s="130"/>
    </row>
    <row r="296" spans="1:42" ht="12.75" customHeight="1" x14ac:dyDescent="0.2">
      <c r="A296" s="129"/>
      <c r="B296" s="129"/>
      <c r="C296" s="143"/>
      <c r="D296" s="138"/>
      <c r="E296" s="129"/>
      <c r="F296" s="138"/>
      <c r="G296" s="138"/>
      <c r="H296" s="138"/>
      <c r="I296" s="138"/>
      <c r="J296" s="138"/>
      <c r="K296" s="130"/>
      <c r="L296" s="130"/>
      <c r="M296" s="130"/>
      <c r="N296" s="130"/>
      <c r="O296" s="130"/>
      <c r="P296" s="130"/>
      <c r="Q296" s="130"/>
      <c r="R296" s="130"/>
      <c r="S296" s="129"/>
      <c r="T296" s="129"/>
      <c r="U296" s="129"/>
      <c r="V296" s="130"/>
      <c r="W296" s="130"/>
      <c r="X296" s="130"/>
      <c r="Y296" s="130"/>
      <c r="Z296" s="152"/>
      <c r="AA296" s="130"/>
      <c r="AB296" s="130"/>
      <c r="AC296" s="130"/>
    </row>
    <row r="297" spans="1:42" ht="12.75" customHeight="1" x14ac:dyDescent="0.2">
      <c r="A297" s="129"/>
      <c r="B297" s="129"/>
      <c r="C297" s="143"/>
      <c r="D297" s="138"/>
      <c r="E297" s="129"/>
      <c r="F297" s="138"/>
      <c r="G297" s="138"/>
      <c r="H297" s="138"/>
      <c r="I297" s="138"/>
      <c r="J297" s="138"/>
      <c r="K297" s="130"/>
      <c r="L297" s="130"/>
      <c r="M297" s="130"/>
      <c r="N297" s="130"/>
      <c r="O297" s="130"/>
      <c r="P297" s="130"/>
      <c r="Q297" s="130"/>
      <c r="R297" s="130"/>
      <c r="S297" s="129"/>
      <c r="T297" s="129"/>
      <c r="U297" s="129"/>
      <c r="V297" s="130"/>
      <c r="W297" s="130"/>
      <c r="X297" s="130"/>
      <c r="Y297" s="130"/>
      <c r="Z297" s="152"/>
      <c r="AA297" s="130"/>
      <c r="AB297" s="130"/>
      <c r="AC297" s="130"/>
    </row>
    <row r="298" spans="1:42" ht="12.75" customHeight="1" x14ac:dyDescent="0.2">
      <c r="A298" s="129"/>
      <c r="B298" s="129"/>
      <c r="C298" s="143"/>
      <c r="D298" s="138"/>
      <c r="E298" s="129"/>
      <c r="F298" s="138"/>
      <c r="G298" s="138"/>
      <c r="H298" s="138"/>
      <c r="I298" s="138"/>
      <c r="J298" s="138"/>
      <c r="K298" s="130"/>
      <c r="L298" s="130"/>
      <c r="M298" s="130"/>
      <c r="N298" s="130"/>
      <c r="O298" s="130"/>
      <c r="P298" s="130"/>
      <c r="Q298" s="130"/>
      <c r="R298" s="130"/>
      <c r="S298" s="129"/>
      <c r="T298" s="129"/>
      <c r="U298" s="129"/>
      <c r="V298" s="130"/>
      <c r="W298" s="130"/>
      <c r="X298" s="130"/>
      <c r="Y298" s="130"/>
      <c r="Z298" s="152"/>
      <c r="AA298" s="130"/>
      <c r="AB298" s="130"/>
      <c r="AC298" s="130"/>
    </row>
    <row r="299" spans="1:42" ht="12.75" customHeight="1" x14ac:dyDescent="0.2">
      <c r="A299" s="129"/>
      <c r="B299" s="129"/>
      <c r="C299" s="143"/>
      <c r="D299" s="138"/>
      <c r="E299" s="129"/>
      <c r="F299" s="138"/>
      <c r="G299" s="138"/>
      <c r="H299" s="138"/>
      <c r="I299" s="138"/>
      <c r="J299" s="138"/>
      <c r="K299" s="130"/>
      <c r="L299" s="130"/>
      <c r="M299" s="130"/>
      <c r="N299" s="130"/>
      <c r="O299" s="130"/>
      <c r="P299" s="130"/>
      <c r="Q299" s="130"/>
      <c r="R299" s="130"/>
      <c r="S299" s="129"/>
      <c r="T299" s="129"/>
      <c r="U299" s="129"/>
      <c r="V299" s="130"/>
      <c r="W299" s="130"/>
      <c r="X299" s="130"/>
      <c r="Y299" s="130"/>
      <c r="Z299" s="152"/>
      <c r="AA299" s="130"/>
      <c r="AB299" s="130"/>
      <c r="AC299" s="130"/>
    </row>
    <row r="300" spans="1:42" s="257" customFormat="1" ht="12.75" customHeight="1" x14ac:dyDescent="0.2">
      <c r="A300" s="255"/>
      <c r="B300" s="255"/>
      <c r="C300" s="143"/>
      <c r="D300" s="138"/>
      <c r="E300" s="255"/>
      <c r="F300" s="138"/>
      <c r="G300" s="138"/>
      <c r="H300" s="138"/>
      <c r="I300" s="138"/>
      <c r="J300" s="138"/>
      <c r="K300" s="256"/>
      <c r="L300" s="256"/>
      <c r="M300" s="256"/>
      <c r="N300" s="256"/>
      <c r="O300" s="256"/>
      <c r="P300" s="256"/>
      <c r="Q300" s="256"/>
      <c r="R300" s="256"/>
      <c r="S300" s="255"/>
      <c r="T300" s="255"/>
      <c r="U300" s="255"/>
      <c r="V300" s="256"/>
      <c r="W300" s="256"/>
      <c r="X300" s="256"/>
      <c r="Y300" s="256"/>
      <c r="Z300" s="152"/>
      <c r="AA300" s="256"/>
      <c r="AB300" s="256"/>
      <c r="AC300" s="256"/>
    </row>
    <row r="301" spans="1:42" s="262" customFormat="1" ht="12.75" hidden="1" customHeight="1" x14ac:dyDescent="0.2">
      <c r="A301" s="135"/>
      <c r="B301" s="135"/>
      <c r="C301" s="258"/>
      <c r="D301" s="259"/>
      <c r="E301" s="135"/>
      <c r="F301" s="259"/>
      <c r="G301" s="259"/>
      <c r="H301" s="259"/>
      <c r="I301" s="259"/>
      <c r="J301" s="259"/>
      <c r="K301" s="260"/>
      <c r="L301" s="260"/>
      <c r="M301" s="260"/>
      <c r="N301" s="260"/>
      <c r="O301" s="260"/>
      <c r="P301" s="260"/>
      <c r="Q301" s="260"/>
      <c r="R301" s="260"/>
      <c r="S301" s="135"/>
      <c r="T301" s="135"/>
      <c r="U301" s="135"/>
      <c r="V301" s="260"/>
      <c r="W301" s="260"/>
      <c r="X301" s="260"/>
      <c r="Y301" s="260"/>
      <c r="Z301" s="261"/>
      <c r="AA301" s="260"/>
      <c r="AB301" s="260"/>
      <c r="AC301" s="260"/>
    </row>
    <row r="302" spans="1:42" s="264" customFormat="1" ht="12.75" hidden="1" customHeight="1" x14ac:dyDescent="0.2">
      <c r="A302" s="263"/>
      <c r="G302" s="265"/>
      <c r="H302" s="265"/>
      <c r="I302" s="265"/>
      <c r="J302" s="265"/>
      <c r="K302" s="265"/>
      <c r="L302" s="265"/>
      <c r="M302" s="265"/>
      <c r="N302" s="265"/>
      <c r="O302" s="263"/>
      <c r="P302" s="263"/>
      <c r="Q302" s="263"/>
      <c r="R302" s="263"/>
      <c r="S302" s="266"/>
      <c r="T302" s="266"/>
      <c r="U302" s="266"/>
      <c r="AA302" s="266"/>
      <c r="AC302" s="266"/>
      <c r="AD302" s="266"/>
      <c r="AE302" s="266"/>
      <c r="AF302" s="266"/>
      <c r="AG302" s="266"/>
      <c r="AH302" s="266"/>
      <c r="AI302" s="266"/>
      <c r="AJ302" s="266"/>
      <c r="AK302" s="266"/>
      <c r="AL302" s="266"/>
      <c r="AM302" s="266"/>
      <c r="AN302" s="266"/>
      <c r="AO302" s="266"/>
      <c r="AP302" s="266"/>
    </row>
    <row r="303" spans="1:42" s="267" customFormat="1" ht="12.75" hidden="1" customHeight="1" x14ac:dyDescent="0.2">
      <c r="B303" s="268"/>
      <c r="C303" s="269" t="s">
        <v>51</v>
      </c>
      <c r="D303" s="269"/>
      <c r="E303" s="269" t="s">
        <v>0</v>
      </c>
      <c r="F303" s="269"/>
      <c r="G303" s="270">
        <f t="shared" ref="G303" si="0">$C$12</f>
        <v>2500</v>
      </c>
      <c r="H303" s="270"/>
      <c r="I303" s="270"/>
      <c r="J303" s="271"/>
      <c r="K303" s="272" t="s">
        <v>162</v>
      </c>
      <c r="L303" s="272"/>
      <c r="M303" s="272"/>
      <c r="N303" s="272"/>
      <c r="O303" s="273" t="s">
        <v>96</v>
      </c>
      <c r="P303" s="273"/>
      <c r="Q303" s="274">
        <f>$M$323</f>
        <v>0.27950000000000003</v>
      </c>
      <c r="R303" s="273" t="s">
        <v>97</v>
      </c>
      <c r="S303" s="273"/>
      <c r="T303" s="274">
        <f>$M$324</f>
        <v>0.27950000000000003</v>
      </c>
      <c r="U303" s="275">
        <v>2</v>
      </c>
      <c r="W303" s="276" t="s">
        <v>155</v>
      </c>
      <c r="X303" s="277" t="b">
        <f>IF(E333=1,X308)</f>
        <v>0</v>
      </c>
      <c r="Y303" s="276" t="s">
        <v>90</v>
      </c>
      <c r="Z303" s="277" t="b">
        <f>IF(E333=1,Y308,IF(E333=2,Z308))</f>
        <v>0</v>
      </c>
      <c r="AC303" s="278"/>
      <c r="AD303" s="278"/>
      <c r="AE303" s="278"/>
      <c r="AF303" s="278"/>
      <c r="AG303" s="278"/>
      <c r="AH303" s="278"/>
      <c r="AI303" s="278"/>
      <c r="AJ303" s="278"/>
      <c r="AK303" s="278"/>
      <c r="AL303" s="278"/>
      <c r="AM303" s="278"/>
      <c r="AN303" s="278"/>
      <c r="AO303" s="278"/>
      <c r="AP303" s="278"/>
    </row>
    <row r="304" spans="1:42" s="267" customFormat="1" ht="12.75" hidden="1" customHeight="1" x14ac:dyDescent="0.2">
      <c r="B304" s="279"/>
      <c r="C304" s="280" t="s">
        <v>2</v>
      </c>
      <c r="D304" s="281">
        <f>$N$316</f>
        <v>36</v>
      </c>
      <c r="E304" s="282" t="s">
        <v>68</v>
      </c>
      <c r="F304" s="281">
        <f>$L$336</f>
        <v>7</v>
      </c>
      <c r="G304" s="270"/>
      <c r="H304" s="270"/>
      <c r="I304" s="270"/>
      <c r="J304" s="271"/>
      <c r="K304" s="283" t="s">
        <v>2</v>
      </c>
      <c r="L304" s="284" t="s">
        <v>144</v>
      </c>
      <c r="M304" s="284" t="s">
        <v>85</v>
      </c>
      <c r="N304" s="284" t="s">
        <v>9</v>
      </c>
      <c r="O304" s="284" t="s">
        <v>102</v>
      </c>
      <c r="P304" s="284" t="s">
        <v>143</v>
      </c>
      <c r="Q304" s="284" t="s">
        <v>8</v>
      </c>
      <c r="R304" s="284" t="s">
        <v>166</v>
      </c>
      <c r="S304" s="284" t="s">
        <v>167</v>
      </c>
      <c r="T304" s="284" t="s">
        <v>89</v>
      </c>
      <c r="U304" s="284" t="s">
        <v>170</v>
      </c>
      <c r="X304" s="283" t="s">
        <v>46</v>
      </c>
      <c r="Y304" s="283" t="s">
        <v>46</v>
      </c>
      <c r="Z304" s="283" t="s">
        <v>47</v>
      </c>
      <c r="AA304" s="277"/>
      <c r="AC304" s="285"/>
      <c r="AD304" s="285"/>
      <c r="AE304" s="285"/>
      <c r="AF304" s="285"/>
      <c r="AG304" s="285"/>
      <c r="AH304" s="285"/>
      <c r="AI304" s="285"/>
      <c r="AJ304" s="285"/>
      <c r="AK304" s="285"/>
      <c r="AL304" s="285"/>
      <c r="AM304" s="285"/>
      <c r="AN304" s="285"/>
      <c r="AO304" s="285"/>
      <c r="AP304" s="285"/>
    </row>
    <row r="305" spans="2:42" s="267" customFormat="1" ht="12.75" hidden="1" customHeight="1" x14ac:dyDescent="0.2">
      <c r="B305" s="286"/>
      <c r="C305" s="287" t="s">
        <v>36</v>
      </c>
      <c r="D305" s="286">
        <f>$M$325</f>
        <v>0.27950000000000003</v>
      </c>
      <c r="E305" s="287" t="s">
        <v>174</v>
      </c>
      <c r="F305" s="288">
        <f>$L$322</f>
        <v>0.1132</v>
      </c>
      <c r="G305" s="270"/>
      <c r="H305" s="270"/>
      <c r="I305" s="270"/>
      <c r="J305" s="271"/>
      <c r="K305" s="289">
        <v>6</v>
      </c>
      <c r="L305" s="290">
        <v>0.49399999999999999</v>
      </c>
      <c r="M305" s="290">
        <v>0.89349999999999996</v>
      </c>
      <c r="N305" s="291">
        <v>1.206</v>
      </c>
      <c r="O305" s="291">
        <v>1.4370000000000001</v>
      </c>
      <c r="P305" s="291"/>
      <c r="Q305" s="291"/>
      <c r="T305" s="290"/>
      <c r="U305" s="290"/>
      <c r="W305" s="292" t="s">
        <v>76</v>
      </c>
      <c r="X305" s="277">
        <v>0</v>
      </c>
      <c r="Y305" s="277">
        <v>-1.4999999999999999E-2</v>
      </c>
      <c r="Z305" s="277">
        <v>0</v>
      </c>
      <c r="AA305" s="277"/>
      <c r="AB305" s="293"/>
      <c r="AD305" s="283"/>
      <c r="AE305" s="283"/>
      <c r="AF305" s="283"/>
      <c r="AG305" s="294"/>
      <c r="AH305" s="268"/>
      <c r="AI305" s="268"/>
      <c r="AK305" s="283"/>
      <c r="AL305" s="283"/>
      <c r="AM305" s="283"/>
      <c r="AN305" s="294"/>
      <c r="AO305" s="268"/>
      <c r="AP305" s="268"/>
    </row>
    <row r="306" spans="2:42" s="267" customFormat="1" ht="12.75" hidden="1" customHeight="1" x14ac:dyDescent="0.2">
      <c r="B306" s="268"/>
      <c r="C306" s="273" t="s">
        <v>10</v>
      </c>
      <c r="D306" s="273"/>
      <c r="E306" s="273" t="s">
        <v>10</v>
      </c>
      <c r="F306" s="273"/>
      <c r="G306" s="271"/>
      <c r="H306" s="271"/>
      <c r="I306" s="271"/>
      <c r="J306" s="271"/>
      <c r="K306" s="289">
        <v>12</v>
      </c>
      <c r="L306" s="290"/>
      <c r="M306" s="290">
        <v>0.26219999999999999</v>
      </c>
      <c r="N306" s="290">
        <v>0.37119999999999997</v>
      </c>
      <c r="O306" s="290">
        <v>0.46700000000000003</v>
      </c>
      <c r="P306" s="290"/>
      <c r="Q306" s="290"/>
      <c r="T306" s="290"/>
      <c r="U306" s="290"/>
      <c r="W306" s="292" t="s">
        <v>77</v>
      </c>
      <c r="X306" s="277">
        <v>0</v>
      </c>
      <c r="Y306" s="277">
        <v>-1.4999999999999999E-2</v>
      </c>
      <c r="Z306" s="277">
        <v>0</v>
      </c>
      <c r="AA306" s="277"/>
      <c r="AB306" s="293"/>
      <c r="AD306" s="295"/>
      <c r="AE306" s="283"/>
      <c r="AF306" s="283"/>
      <c r="AG306" s="294"/>
      <c r="AH306" s="268"/>
      <c r="AK306" s="295"/>
      <c r="AL306" s="283"/>
      <c r="AM306" s="283"/>
      <c r="AN306" s="294"/>
      <c r="AO306" s="268"/>
      <c r="AP306" s="268"/>
    </row>
    <row r="307" spans="2:42" s="267" customFormat="1" ht="12.75" hidden="1" customHeight="1" x14ac:dyDescent="0.2">
      <c r="B307" s="296"/>
      <c r="C307" s="297" t="s">
        <v>12</v>
      </c>
      <c r="D307" s="298">
        <f>$G$303</f>
        <v>2500</v>
      </c>
      <c r="E307" s="297" t="s">
        <v>12</v>
      </c>
      <c r="F307" s="299">
        <f>$G$303</f>
        <v>2500</v>
      </c>
      <c r="G307" s="271"/>
      <c r="H307" s="271"/>
      <c r="I307" s="271"/>
      <c r="J307" s="271"/>
      <c r="K307" s="289">
        <v>18</v>
      </c>
      <c r="L307" s="290"/>
      <c r="M307" s="290">
        <v>0.12659999999999999</v>
      </c>
      <c r="N307" s="290">
        <v>0.18179999999999999</v>
      </c>
      <c r="O307" s="290">
        <v>0.2321</v>
      </c>
      <c r="P307" s="290"/>
      <c r="Q307" s="290"/>
      <c r="T307" s="290"/>
      <c r="U307" s="290"/>
      <c r="W307" s="292" t="s">
        <v>150</v>
      </c>
      <c r="X307" s="277">
        <v>0</v>
      </c>
      <c r="Y307" s="277">
        <v>-1.4999999999999999E-2</v>
      </c>
      <c r="Z307" s="277">
        <v>0</v>
      </c>
      <c r="AA307" s="300"/>
      <c r="AB307" s="293"/>
      <c r="AD307" s="283"/>
      <c r="AE307" s="283"/>
      <c r="AF307" s="283"/>
      <c r="AG307" s="294"/>
      <c r="AH307" s="268"/>
      <c r="AK307" s="283"/>
      <c r="AL307" s="283"/>
      <c r="AM307" s="283"/>
      <c r="AN307" s="294"/>
      <c r="AO307" s="268"/>
      <c r="AP307" s="268"/>
    </row>
    <row r="308" spans="2:42" s="267" customFormat="1" ht="13.5" hidden="1" customHeight="1" x14ac:dyDescent="0.2">
      <c r="B308" s="297"/>
      <c r="C308" s="297" t="s">
        <v>14</v>
      </c>
      <c r="D308" s="301">
        <v>0</v>
      </c>
      <c r="E308" s="297" t="s">
        <v>14</v>
      </c>
      <c r="F308" s="299">
        <v>0</v>
      </c>
      <c r="G308" s="271"/>
      <c r="H308" s="271"/>
      <c r="I308" s="271"/>
      <c r="J308" s="271"/>
      <c r="K308" s="289">
        <v>24</v>
      </c>
      <c r="L308" s="290"/>
      <c r="M308" s="290">
        <v>7.5600000000000001E-2</v>
      </c>
      <c r="N308" s="290">
        <v>0.1094</v>
      </c>
      <c r="O308" s="290">
        <v>0.14080000000000001</v>
      </c>
      <c r="P308" s="290">
        <v>0.16980000000000001</v>
      </c>
      <c r="Q308" s="290">
        <v>0.19670000000000001</v>
      </c>
      <c r="T308" s="290"/>
      <c r="U308" s="290"/>
      <c r="W308" s="277"/>
      <c r="X308" s="277">
        <f>IF(N345&gt;6000,X307, IF(N345&gt;3000,X306, IF(N345&gt;499,X305, "Min $500")))</f>
        <v>0</v>
      </c>
      <c r="Y308" s="277">
        <f>IF(N345&gt;6000,Y307, IF(N345&gt;3000,Y306, IF(N345&gt;499,Y305, "Min $500")))</f>
        <v>-1.4999999999999999E-2</v>
      </c>
      <c r="Z308" s="277">
        <f>IF(N345&gt;6000,Z307, IF(N345&gt;3000,Z306, IF(N345&gt;499,Z305, "Min $500")))</f>
        <v>0</v>
      </c>
      <c r="AA308" s="300"/>
      <c r="AB308" s="293"/>
      <c r="AC308" s="285"/>
      <c r="AD308" s="285"/>
      <c r="AE308" s="285"/>
      <c r="AF308" s="285"/>
      <c r="AG308" s="285"/>
      <c r="AH308" s="285"/>
      <c r="AI308" s="285"/>
      <c r="AJ308" s="285"/>
      <c r="AK308" s="285"/>
      <c r="AL308" s="285"/>
      <c r="AM308" s="285"/>
      <c r="AN308" s="285"/>
      <c r="AO308" s="285"/>
      <c r="AP308" s="285"/>
    </row>
    <row r="309" spans="2:42" s="267" customFormat="1" ht="13.5" hidden="1" customHeight="1" x14ac:dyDescent="0.2">
      <c r="B309" s="302"/>
      <c r="C309" s="297" t="s">
        <v>17</v>
      </c>
      <c r="D309" s="298">
        <v>0</v>
      </c>
      <c r="E309" s="297" t="s">
        <v>17</v>
      </c>
      <c r="F309" s="299">
        <v>0</v>
      </c>
      <c r="G309" s="303"/>
      <c r="H309" s="271"/>
      <c r="I309" s="271"/>
      <c r="J309" s="271"/>
      <c r="K309" s="289">
        <v>30</v>
      </c>
      <c r="L309" s="290"/>
      <c r="M309" s="290"/>
      <c r="N309" s="290">
        <v>7.4099999999999999E-2</v>
      </c>
      <c r="O309" s="290">
        <v>9.5699999999999993E-2</v>
      </c>
      <c r="P309" s="290">
        <v>0.1159</v>
      </c>
      <c r="Q309" s="290">
        <v>0.1348</v>
      </c>
      <c r="R309" s="290">
        <v>0.1532</v>
      </c>
      <c r="S309" s="290">
        <v>0.16980000000000001</v>
      </c>
      <c r="T309" s="290"/>
      <c r="U309" s="290"/>
      <c r="AA309" s="300"/>
      <c r="AB309" s="304"/>
      <c r="AD309" s="283"/>
      <c r="AE309" s="283"/>
      <c r="AF309" s="283"/>
      <c r="AG309" s="294"/>
      <c r="AH309" s="268"/>
      <c r="AK309" s="283"/>
      <c r="AL309" s="268"/>
      <c r="AM309" s="268"/>
      <c r="AN309" s="290"/>
      <c r="AO309" s="283"/>
    </row>
    <row r="310" spans="2:42" s="267" customFormat="1" ht="13.5" hidden="1" customHeight="1" x14ac:dyDescent="0.2">
      <c r="B310" s="302"/>
      <c r="C310" s="297" t="s">
        <v>4</v>
      </c>
      <c r="D310" s="305">
        <f>$O$325</f>
        <v>55</v>
      </c>
      <c r="E310" s="297" t="s">
        <v>4</v>
      </c>
      <c r="F310" s="306">
        <f>$D$310</f>
        <v>55</v>
      </c>
      <c r="H310" s="271"/>
      <c r="I310" s="271"/>
      <c r="J310" s="271"/>
      <c r="K310" s="289">
        <v>36</v>
      </c>
      <c r="L310" s="290"/>
      <c r="M310" s="290"/>
      <c r="N310" s="290"/>
      <c r="O310" s="290">
        <v>7.0099999999999996E-2</v>
      </c>
      <c r="P310" s="290">
        <v>8.5099999999999995E-2</v>
      </c>
      <c r="Q310" s="290">
        <v>9.9299999999999999E-2</v>
      </c>
      <c r="R310" s="286">
        <v>0.1132</v>
      </c>
      <c r="S310" s="286">
        <v>0.1258</v>
      </c>
      <c r="T310" s="290">
        <v>0.13769999999999999</v>
      </c>
      <c r="U310" s="290"/>
      <c r="W310" s="307" t="s">
        <v>111</v>
      </c>
      <c r="X310" s="307"/>
      <c r="Y310" s="307"/>
      <c r="Z310" s="286" t="b">
        <f>IF(E333=1,W315,IF(E333=2,X315,IF(E333=3,Y315,IF(E333=4,Z315))))</f>
        <v>0</v>
      </c>
      <c r="AA310" s="300"/>
      <c r="AB310" s="293"/>
      <c r="AD310" s="295"/>
      <c r="AE310" s="283"/>
      <c r="AF310" s="283"/>
      <c r="AG310" s="294"/>
      <c r="AH310" s="268"/>
      <c r="AK310" s="295"/>
      <c r="AL310" s="283"/>
      <c r="AM310" s="283"/>
      <c r="AN310" s="294"/>
      <c r="AO310" s="268"/>
    </row>
    <row r="311" spans="2:42" s="267" customFormat="1" ht="13.5" hidden="1" customHeight="1" x14ac:dyDescent="0.2">
      <c r="B311" s="308" t="s">
        <v>20</v>
      </c>
      <c r="C311" s="309" t="s">
        <v>19</v>
      </c>
      <c r="D311" s="298">
        <f>D307+D309+D310</f>
        <v>2555</v>
      </c>
      <c r="E311" s="309" t="s">
        <v>19</v>
      </c>
      <c r="F311" s="299">
        <f>F307+F309+F310</f>
        <v>2555</v>
      </c>
      <c r="H311" s="271"/>
      <c r="I311" s="271"/>
      <c r="J311" s="271"/>
      <c r="K311" s="289">
        <v>42</v>
      </c>
      <c r="L311" s="290"/>
      <c r="M311" s="290"/>
      <c r="N311" s="290"/>
      <c r="O311" s="290"/>
      <c r="P311" s="290"/>
      <c r="Q311" s="290">
        <v>7.6799999999999993E-2</v>
      </c>
      <c r="R311" s="286">
        <v>8.6999999999999994E-2</v>
      </c>
      <c r="S311" s="286">
        <v>9.7000000000000003E-2</v>
      </c>
      <c r="T311" s="290">
        <v>0.1066</v>
      </c>
      <c r="U311" s="290">
        <v>0.11609999999999999</v>
      </c>
      <c r="W311" s="310" t="s">
        <v>46</v>
      </c>
      <c r="X311" s="310" t="s">
        <v>47</v>
      </c>
      <c r="Y311" s="310" t="s">
        <v>48</v>
      </c>
      <c r="Z311" s="310" t="s">
        <v>49</v>
      </c>
      <c r="AA311" s="300"/>
      <c r="AB311" s="293"/>
      <c r="AD311" s="283"/>
      <c r="AE311" s="283"/>
      <c r="AF311" s="283"/>
      <c r="AG311" s="294"/>
      <c r="AH311" s="268"/>
      <c r="AK311" s="283"/>
      <c r="AL311" s="283"/>
      <c r="AM311" s="283"/>
      <c r="AN311" s="286"/>
      <c r="AO311" s="268"/>
    </row>
    <row r="312" spans="2:42" s="267" customFormat="1" ht="13.5" hidden="1" customHeight="1" x14ac:dyDescent="0.2">
      <c r="B312" s="308" t="s">
        <v>22</v>
      </c>
      <c r="C312" s="311" t="s">
        <v>21</v>
      </c>
      <c r="D312" s="312">
        <f>$G$12</f>
        <v>300</v>
      </c>
      <c r="E312" s="311" t="s">
        <v>21</v>
      </c>
      <c r="F312" s="306">
        <f>$G$12</f>
        <v>300</v>
      </c>
      <c r="G312" s="303" t="s">
        <v>98</v>
      </c>
      <c r="H312" s="271"/>
      <c r="I312" s="271"/>
      <c r="J312" s="271"/>
      <c r="K312" s="289">
        <v>48</v>
      </c>
      <c r="L312" s="290"/>
      <c r="M312" s="290"/>
      <c r="N312" s="290"/>
      <c r="O312" s="283"/>
      <c r="P312" s="290"/>
      <c r="Q312" s="290">
        <v>6.1699999999999998E-2</v>
      </c>
      <c r="R312" s="286">
        <v>6.9900000000000004E-2</v>
      </c>
      <c r="S312" s="286">
        <v>7.8E-2</v>
      </c>
      <c r="T312" s="290">
        <v>8.5999999999999993E-2</v>
      </c>
      <c r="U312" s="290">
        <v>9.3700000000000006E-2</v>
      </c>
      <c r="W312" s="286">
        <v>-2.5000000000000001E-2</v>
      </c>
      <c r="X312" s="286">
        <v>-1.4999999999999999E-2</v>
      </c>
      <c r="Y312" s="286">
        <v>0</v>
      </c>
      <c r="Z312" s="286">
        <v>1.4999999999999999E-2</v>
      </c>
      <c r="AA312" s="300"/>
      <c r="AB312" s="293"/>
      <c r="AC312" s="285"/>
      <c r="AD312" s="285"/>
      <c r="AE312" s="285"/>
      <c r="AF312" s="285"/>
      <c r="AG312" s="285"/>
      <c r="AH312" s="285"/>
      <c r="AI312" s="285"/>
      <c r="AJ312" s="285"/>
      <c r="AK312" s="285"/>
      <c r="AL312" s="285"/>
      <c r="AM312" s="285"/>
      <c r="AN312" s="285"/>
      <c r="AO312" s="285"/>
      <c r="AP312" s="285"/>
    </row>
    <row r="313" spans="2:42" s="267" customFormat="1" ht="13.5" hidden="1" customHeight="1" x14ac:dyDescent="0.2">
      <c r="B313" s="313" t="s">
        <v>24</v>
      </c>
      <c r="C313" s="309" t="s">
        <v>23</v>
      </c>
      <c r="D313" s="314">
        <f>D311-D312</f>
        <v>2255</v>
      </c>
      <c r="E313" s="309" t="s">
        <v>23</v>
      </c>
      <c r="F313" s="299">
        <f>F311-F312</f>
        <v>2255</v>
      </c>
      <c r="G313" s="315">
        <f>L322/10</f>
        <v>1.132E-2</v>
      </c>
      <c r="H313" s="271"/>
      <c r="I313" s="271"/>
      <c r="J313" s="271"/>
      <c r="K313" s="316" t="s">
        <v>1</v>
      </c>
      <c r="L313" s="316"/>
      <c r="M313" s="283"/>
      <c r="N313" s="283"/>
      <c r="O313" s="283"/>
      <c r="P313" s="316" t="s">
        <v>157</v>
      </c>
      <c r="Q313" s="316"/>
      <c r="R313" s="316"/>
      <c r="S313" s="316"/>
      <c r="T313" s="284" t="s">
        <v>171</v>
      </c>
      <c r="U313" s="284" t="s">
        <v>11</v>
      </c>
      <c r="W313" s="286">
        <v>-2.5000000000000001E-2</v>
      </c>
      <c r="X313" s="286">
        <v>-1.4999999999999999E-2</v>
      </c>
      <c r="Y313" s="286">
        <v>0</v>
      </c>
      <c r="Z313" s="286">
        <v>1.4999999999999999E-2</v>
      </c>
      <c r="AA313" s="300"/>
      <c r="AD313" s="283"/>
      <c r="AE313" s="283"/>
      <c r="AF313" s="283"/>
      <c r="AG313" s="286"/>
      <c r="AH313" s="268"/>
      <c r="AI313" s="268"/>
      <c r="AK313" s="283"/>
      <c r="AL313" s="283"/>
      <c r="AM313" s="283"/>
      <c r="AN313" s="294"/>
      <c r="AO313" s="268"/>
    </row>
    <row r="314" spans="2:42" s="267" customFormat="1" ht="13.5" hidden="1" customHeight="1" x14ac:dyDescent="0.2">
      <c r="B314" s="308"/>
      <c r="C314" s="297" t="s">
        <v>61</v>
      </c>
      <c r="D314" s="314">
        <f>D317-D313-D315</f>
        <v>1100.8</v>
      </c>
      <c r="E314" s="297" t="s">
        <v>61</v>
      </c>
      <c r="F314" s="299">
        <f>F317-F313-F315</f>
        <v>652.24</v>
      </c>
      <c r="G314" s="317">
        <f>D314*G313</f>
        <v>12.46</v>
      </c>
      <c r="H314" s="271"/>
      <c r="I314" s="271"/>
      <c r="J314" s="271"/>
      <c r="K314" s="318">
        <v>6</v>
      </c>
      <c r="L314" s="319" t="b">
        <f>IF(E333=1,IF(F333=1,M325,IF(F333=2,M325,IF(F333=3,M325,IF(F333=4,L305,IF(F333=5,M305,IF(F333=6,N305,IF(F333=7,O305))))))))</f>
        <v>0</v>
      </c>
      <c r="M314" s="320" t="s">
        <v>91</v>
      </c>
      <c r="N314" s="321" t="s">
        <v>2</v>
      </c>
      <c r="O314" s="322" t="s">
        <v>160</v>
      </c>
      <c r="P314" s="323" t="s">
        <v>2</v>
      </c>
      <c r="Q314" s="324" t="s">
        <v>103</v>
      </c>
      <c r="R314" s="324"/>
      <c r="S314" s="324"/>
      <c r="T314" s="290"/>
      <c r="U314" s="290"/>
      <c r="W314" s="286">
        <v>-2.5000000000000001E-2</v>
      </c>
      <c r="X314" s="286">
        <v>-1.4999999999999999E-2</v>
      </c>
      <c r="Y314" s="286">
        <v>0</v>
      </c>
      <c r="Z314" s="286">
        <v>1.4999999999999999E-2</v>
      </c>
      <c r="AA314" s="300"/>
      <c r="AD314" s="295"/>
      <c r="AE314" s="283"/>
      <c r="AF314" s="283"/>
      <c r="AG314" s="294"/>
      <c r="AH314" s="268"/>
      <c r="AI314" s="268"/>
      <c r="AK314" s="283"/>
      <c r="AL314" s="283"/>
      <c r="AM314" s="283"/>
      <c r="AN314" s="294"/>
      <c r="AO314" s="268"/>
    </row>
    <row r="315" spans="2:42" s="267" customFormat="1" ht="13.5" hidden="1" customHeight="1" x14ac:dyDescent="0.2">
      <c r="B315" s="308"/>
      <c r="C315" s="297" t="s">
        <v>62</v>
      </c>
      <c r="D315" s="314">
        <f>$F$315</f>
        <v>390</v>
      </c>
      <c r="E315" s="297" t="s">
        <v>62</v>
      </c>
      <c r="F315" s="314">
        <f>O322*D304</f>
        <v>390</v>
      </c>
      <c r="G315" s="325">
        <f>G313*10</f>
        <v>0.1132</v>
      </c>
      <c r="H315" s="271"/>
      <c r="I315" s="271"/>
      <c r="J315" s="271"/>
      <c r="K315" s="318">
        <v>12</v>
      </c>
      <c r="L315" s="288" t="b">
        <f>IF(E333=2,IF(F333=1,M325,IF(F333=2,M325,IF(F333=3,M325,IF(F333=4,L306,IF(F333=5,M306,IF(F333=6,N306,IF(F333=7,O306,IF(F333=8,O306)))))))))</f>
        <v>0</v>
      </c>
      <c r="M315" s="326" t="s">
        <v>92</v>
      </c>
      <c r="N315" s="321"/>
      <c r="O315" s="322"/>
      <c r="P315" s="327" t="s">
        <v>8</v>
      </c>
      <c r="Q315" s="327" t="s">
        <v>146</v>
      </c>
      <c r="R315" s="287"/>
      <c r="T315" s="290"/>
      <c r="U315" s="290"/>
      <c r="W315" s="286">
        <f>IF(N345&gt;6000,W314, IF(N345&gt;3000,W313, IF(N345&gt;499,W312, "Min $500")))</f>
        <v>-2.5000000000000001E-2</v>
      </c>
      <c r="X315" s="286">
        <f>IF(N345&gt;6000,X314, IF(N345&gt;3000,X313, IF(N345&gt;499,X312, "Min $500")))</f>
        <v>-1.4999999999999999E-2</v>
      </c>
      <c r="Y315" s="286">
        <f>IF(N345&gt;6000,Y314, IF(N345&gt;3000,Y313, IF(N345&gt;499,Y312, "Min $500")))</f>
        <v>0</v>
      </c>
      <c r="Z315" s="286">
        <f>IF(N345&gt;6000,Z314, IF(N345&gt;3000,Z313, IF(N345&gt;499,Z312, "Min $500")))</f>
        <v>1.4999999999999999E-2</v>
      </c>
      <c r="AA315" s="300"/>
      <c r="AD315" s="283"/>
      <c r="AE315" s="283"/>
      <c r="AF315" s="283"/>
      <c r="AG315" s="294"/>
      <c r="AH315" s="268"/>
      <c r="AI315" s="268"/>
      <c r="AK315" s="283"/>
      <c r="AL315" s="283"/>
      <c r="AM315" s="283"/>
      <c r="AN315" s="294"/>
      <c r="AO315" s="268"/>
    </row>
    <row r="316" spans="2:42" s="267" customFormat="1" ht="13.5" hidden="1" customHeight="1" x14ac:dyDescent="0.2">
      <c r="B316" s="308" t="s">
        <v>27</v>
      </c>
      <c r="C316" s="309" t="s">
        <v>26</v>
      </c>
      <c r="D316" s="314">
        <f>D314+D315</f>
        <v>1490.8</v>
      </c>
      <c r="E316" s="309" t="s">
        <v>26</v>
      </c>
      <c r="F316" s="299">
        <f>F314+F315</f>
        <v>1042.24</v>
      </c>
      <c r="H316" s="271"/>
      <c r="I316" s="271"/>
      <c r="J316" s="271"/>
      <c r="K316" s="318">
        <v>18</v>
      </c>
      <c r="L316" s="288" t="b">
        <f>IF(E333=3,IF(F333=1,M325,IF(F333=2,M325,IF(F333=3,M325,IF(F333=4,L307,IF(F333=5,M307,IF(F333=6,N307,IF(F333=7,O307,IF(F333=8,P307)))))))))</f>
        <v>0</v>
      </c>
      <c r="M316" s="326" t="s">
        <v>93</v>
      </c>
      <c r="N316" s="328">
        <f>IF(E333=1,6,IF(E333=2,12,IF(E333=3,18,IF(E333=4,24,IF(E333=5,30,IF(E333=6,36,IF(E333=7,42,IF(E333=8,48,0))))))))</f>
        <v>36</v>
      </c>
      <c r="O316" s="328">
        <f>IF(F333=1,0,IF(F333=2,0,IF(F333=3,1,IF(F333=4,1,IF(F333=5,2,IF(F333=6,3,IF(F333=7,4,IF(F333=8,5,IF(F333=9,6,IF(F333=10,7,IF(F333=11,8,IF(F333=12,9,IF(F333=13,10,IF(F333=14,11,IF(F333=15,12,)))))))))))))))</f>
        <v>7</v>
      </c>
      <c r="P316" s="327" t="s">
        <v>11</v>
      </c>
      <c r="Q316" s="327" t="str">
        <f>IF(E333=4,"Deferred Start &amp; 0% Int",IF(E333=6,"Deferred Start &amp; 0% Int","N/A"))</f>
        <v>Deferred Start &amp; 0% Int</v>
      </c>
      <c r="R316" s="287"/>
      <c r="T316" s="290"/>
      <c r="U316" s="290"/>
      <c r="AA316" s="300"/>
      <c r="AC316" s="278"/>
      <c r="AD316" s="278"/>
      <c r="AE316" s="278"/>
      <c r="AF316" s="278"/>
      <c r="AG316" s="278"/>
      <c r="AH316" s="278"/>
      <c r="AI316" s="278"/>
      <c r="AJ316" s="278"/>
      <c r="AK316" s="278"/>
      <c r="AL316" s="278"/>
      <c r="AM316" s="278"/>
      <c r="AN316" s="278"/>
      <c r="AO316" s="278"/>
      <c r="AP316" s="278"/>
    </row>
    <row r="317" spans="2:42" s="267" customFormat="1" ht="13.5" hidden="1" customHeight="1" x14ac:dyDescent="0.2">
      <c r="B317" s="308" t="s">
        <v>32</v>
      </c>
      <c r="C317" s="309" t="s">
        <v>31</v>
      </c>
      <c r="D317" s="314">
        <f>D322*D304</f>
        <v>3745.8</v>
      </c>
      <c r="E317" s="309" t="s">
        <v>31</v>
      </c>
      <c r="F317" s="299">
        <f>(F322*N316)</f>
        <v>3297.24</v>
      </c>
      <c r="G317" s="283"/>
      <c r="H317" s="271"/>
      <c r="I317" s="271"/>
      <c r="J317" s="271"/>
      <c r="K317" s="318">
        <v>24</v>
      </c>
      <c r="L317" s="288" t="b">
        <f>IF(E333=4,IF(F333=1,M325,IF(F333=2,M325,IF(F333=3,M325,IF(F333=4,L308,IF(F333=5,M308,IF(F333=6,N308,IF(F333=7,O308,IF(F333=8,P308,IF(F333=9,Q308,))))))))))</f>
        <v>0</v>
      </c>
      <c r="M317" s="329">
        <v>3</v>
      </c>
      <c r="N317" s="328"/>
      <c r="O317" s="328"/>
      <c r="P317" s="327" t="s">
        <v>13</v>
      </c>
      <c r="Q317" s="287" t="str">
        <f>IF(E333&gt;0,"N/A", "Interest Free")</f>
        <v>N/A</v>
      </c>
      <c r="R317" s="287"/>
      <c r="T317" s="290"/>
      <c r="U317" s="290"/>
      <c r="W317" s="330" t="s">
        <v>101</v>
      </c>
      <c r="X317" s="330"/>
      <c r="Y317" s="330"/>
      <c r="Z317" s="277" t="b">
        <f>IF(E333=2,W322,IF(E333=3,X322,IF(E333=4,Y322,IF(E333=5,Z322))))</f>
        <v>0</v>
      </c>
      <c r="AA317" s="300"/>
      <c r="AC317" s="285"/>
      <c r="AD317" s="285"/>
      <c r="AE317" s="285"/>
      <c r="AF317" s="285"/>
      <c r="AG317" s="285"/>
      <c r="AH317" s="285"/>
      <c r="AI317" s="285"/>
      <c r="AJ317" s="285"/>
      <c r="AK317" s="285"/>
      <c r="AL317" s="285"/>
      <c r="AM317" s="285"/>
      <c r="AN317" s="285"/>
      <c r="AO317" s="285"/>
      <c r="AP317" s="285"/>
    </row>
    <row r="318" spans="2:42" s="267" customFormat="1" ht="13.5" hidden="1" customHeight="1" x14ac:dyDescent="0.2">
      <c r="B318" s="308" t="s">
        <v>35</v>
      </c>
      <c r="C318" s="297" t="s">
        <v>30</v>
      </c>
      <c r="D318" s="314">
        <f>D312+D317</f>
        <v>4045.8</v>
      </c>
      <c r="E318" s="297" t="s">
        <v>30</v>
      </c>
      <c r="F318" s="299">
        <f>F312+F317</f>
        <v>3597.24</v>
      </c>
      <c r="G318" s="268"/>
      <c r="H318" s="271"/>
      <c r="I318" s="271"/>
      <c r="J318" s="271"/>
      <c r="K318" s="318">
        <v>30</v>
      </c>
      <c r="L318" s="288" t="b">
        <f>IF(E333=5,IF(F333=1,M325,IF(F333=2,M325,IF(F333=3,M325,IF(F333=4,N309,IF(F333=5,P309,IF(F333=6,N309,IF(F333=7,O309,IF(F333=8,P309,IF(F333=9,Q309,IF(F333=10,R309,IF(F333=11,S309))))))))))))</f>
        <v>0</v>
      </c>
      <c r="M318" s="271" t="s">
        <v>151</v>
      </c>
      <c r="N318" s="271"/>
      <c r="O318" s="321" t="s">
        <v>156</v>
      </c>
      <c r="P318" s="327" t="s">
        <v>16</v>
      </c>
      <c r="Q318" s="287" t="str">
        <f>IF(E333=1,"1 Mths 0% Interest",IF(E333=2,"N/A",IF(E333=3,"N/A",IF(E333=4,"N/A",IF(E333=5,"N/A",IF(E333=6,"N/A","N/A"))))))</f>
        <v>N/A</v>
      </c>
      <c r="R318" s="287"/>
      <c r="T318" s="290"/>
      <c r="U318" s="290"/>
      <c r="W318" s="331" t="s">
        <v>47</v>
      </c>
      <c r="X318" s="331" t="s">
        <v>48</v>
      </c>
      <c r="Y318" s="331" t="s">
        <v>49</v>
      </c>
      <c r="Z318" s="331" t="s">
        <v>161</v>
      </c>
      <c r="AA318" s="300"/>
      <c r="AD318" s="283"/>
      <c r="AE318" s="283"/>
      <c r="AF318" s="283"/>
      <c r="AG318" s="332"/>
      <c r="AH318" s="268"/>
      <c r="AI318" s="268"/>
      <c r="AK318" s="283"/>
      <c r="AL318" s="283"/>
      <c r="AM318" s="283"/>
      <c r="AN318" s="294"/>
      <c r="AO318" s="268"/>
    </row>
    <row r="319" spans="2:42" s="267" customFormat="1" ht="13.5" hidden="1" customHeight="1" x14ac:dyDescent="0.2">
      <c r="C319" s="333" t="s">
        <v>69</v>
      </c>
      <c r="D319" s="314">
        <f>PV(D320/12, D304, -D322)</f>
        <v>2517.14</v>
      </c>
      <c r="F319" s="314">
        <f>PV(F321/12, D304, -F322)</f>
        <v>2255.0100000000002</v>
      </c>
      <c r="H319" s="271"/>
      <c r="I319" s="271"/>
      <c r="J319" s="271"/>
      <c r="K319" s="318">
        <v>36</v>
      </c>
      <c r="L319" s="334">
        <f>IF(E333=6,IF(F333=7,O310,IF(F333=8,P310,IF(F333=9,Q310,IF(F333=10,R310,IF(F333=11,S310,IF(F333=12,T310)))))))</f>
        <v>0.1132</v>
      </c>
      <c r="M319" s="271" t="s">
        <v>152</v>
      </c>
      <c r="N319" s="271"/>
      <c r="O319" s="321"/>
      <c r="P319" s="327" t="s">
        <v>145</v>
      </c>
      <c r="Q319" s="287" t="str">
        <f>IF(E333=1,"2 Mths 0% Interest",IF(E333=2,"2 Mths 0% Interest",IF(E333=3,"N/A",IF(E333=4,"N/A",IF(E333=5,"N/A",IF(E333=6,"N/A","N/A"))))))</f>
        <v>N/A</v>
      </c>
      <c r="R319" s="287"/>
      <c r="T319" s="290"/>
      <c r="U319" s="290"/>
      <c r="W319" s="277">
        <v>-2.5000000000000001E-2</v>
      </c>
      <c r="X319" s="277">
        <v>-1.4999999999999999E-2</v>
      </c>
      <c r="Y319" s="277">
        <v>0</v>
      </c>
      <c r="Z319" s="277">
        <v>1.4999999999999999E-2</v>
      </c>
      <c r="AA319" s="300"/>
      <c r="AB319" s="304"/>
      <c r="AD319" s="295"/>
      <c r="AE319" s="283"/>
      <c r="AF319" s="283"/>
      <c r="AG319" s="332"/>
      <c r="AH319" s="268"/>
      <c r="AK319" s="295"/>
      <c r="AL319" s="283"/>
      <c r="AM319" s="283"/>
      <c r="AN319" s="294"/>
      <c r="AO319" s="268"/>
    </row>
    <row r="320" spans="2:42" s="267" customFormat="1" ht="13.5" hidden="1" customHeight="1" x14ac:dyDescent="0.2">
      <c r="B320" s="313"/>
      <c r="C320" s="297" t="s">
        <v>36</v>
      </c>
      <c r="D320" s="335">
        <f>$D$305</f>
        <v>0.27950000000000003</v>
      </c>
      <c r="E320" s="297" t="s">
        <v>36</v>
      </c>
      <c r="F320" s="335">
        <f>$D$305</f>
        <v>0.27950000000000003</v>
      </c>
      <c r="G320" s="336"/>
      <c r="H320" s="271"/>
      <c r="I320" s="271"/>
      <c r="J320" s="271"/>
      <c r="K320" s="318">
        <v>42</v>
      </c>
      <c r="L320" s="334" t="b">
        <f>IF(E333=7,IF(F333=9,Q311,IF(F333=10,R311,IF(F333=11,S311,IF(F333=12,T311,IF(F333=13,U311,IF(F333=14,T320,IF(F333=15,U320))))))))</f>
        <v>0</v>
      </c>
      <c r="M320" s="337" t="s">
        <v>29</v>
      </c>
      <c r="N320" s="337"/>
      <c r="O320" s="272">
        <f>IF(F333&gt;2,F322,D322)</f>
        <v>91.59</v>
      </c>
      <c r="P320" s="327" t="s">
        <v>18</v>
      </c>
      <c r="Q320" s="287" t="str">
        <f>IF(E333=1,"3 Mths 0% Interest",IF(E333=2,"3 Mths 0% Interest",IF(E333=3,"3 Mths 0% Interest","N/A")))</f>
        <v>N/A</v>
      </c>
      <c r="R320" s="287"/>
      <c r="T320" s="290">
        <v>0.1246</v>
      </c>
      <c r="U320" s="290"/>
      <c r="W320" s="277">
        <v>-2.5000000000000001E-2</v>
      </c>
      <c r="X320" s="277">
        <v>-1.4999999999999999E-2</v>
      </c>
      <c r="Y320" s="277">
        <v>0</v>
      </c>
      <c r="Z320" s="277">
        <v>1.4999999999999999E-2</v>
      </c>
      <c r="AA320" s="300"/>
      <c r="AB320" s="338"/>
      <c r="AD320" s="283"/>
      <c r="AE320" s="283"/>
      <c r="AF320" s="283"/>
      <c r="AG320" s="332"/>
      <c r="AH320" s="268"/>
      <c r="AK320" s="283"/>
      <c r="AL320" s="283"/>
      <c r="AM320" s="283"/>
      <c r="AN320" s="294"/>
      <c r="AO320" s="268"/>
    </row>
    <row r="321" spans="2:42" s="267" customFormat="1" hidden="1" x14ac:dyDescent="0.2">
      <c r="B321" s="296"/>
      <c r="C321" s="339" t="s">
        <v>83</v>
      </c>
      <c r="D321" s="286">
        <f>RATE( D304,D322*-1,D313,0,0)*12</f>
        <v>0.3659</v>
      </c>
      <c r="E321" s="339" t="s">
        <v>83</v>
      </c>
      <c r="F321" s="286">
        <f>RATE( D304,F322*-1,F313,F320,0)*12</f>
        <v>0.2661</v>
      </c>
      <c r="G321" s="283"/>
      <c r="H321" s="271"/>
      <c r="I321" s="271"/>
      <c r="J321" s="271"/>
      <c r="K321" s="318">
        <v>48</v>
      </c>
      <c r="L321" s="334" t="b">
        <f>IF(E333=8,IF(F333=9,Q312,IF(F333=10,R312,IF(F333=11,S312,IF(F333=12,T312,IF(F333=13,U312,IF(F333=14,T321,IF(F333=15,U321))))))))</f>
        <v>0</v>
      </c>
      <c r="M321" s="337"/>
      <c r="N321" s="337"/>
      <c r="O321" s="272"/>
      <c r="P321" s="327" t="s">
        <v>148</v>
      </c>
      <c r="Q321" s="327" t="str">
        <f>IF(E333=1,"N/A",IF(E333=2,"4 Mths 0% Interest",IF(E333=3,"4 Mths 0% Interest",IF(E333=4,"4 Mths 0% Interest","N/A"))))</f>
        <v>N/A</v>
      </c>
      <c r="R321" s="287"/>
      <c r="T321" s="290">
        <v>0.1007</v>
      </c>
      <c r="U321" s="290">
        <v>0.1074</v>
      </c>
      <c r="W321" s="277">
        <v>-2.5000000000000001E-2</v>
      </c>
      <c r="X321" s="277">
        <v>-1.4999999999999999E-2</v>
      </c>
      <c r="Y321" s="277">
        <v>0</v>
      </c>
      <c r="Z321" s="277">
        <v>1.4999999999999999E-2</v>
      </c>
      <c r="AA321" s="300"/>
      <c r="AB321" s="338"/>
      <c r="AC321" s="285"/>
      <c r="AD321" s="285"/>
      <c r="AE321" s="285"/>
      <c r="AF321" s="285"/>
      <c r="AG321" s="285"/>
      <c r="AH321" s="285"/>
      <c r="AI321" s="285"/>
      <c r="AJ321" s="285"/>
      <c r="AK321" s="285"/>
      <c r="AL321" s="285"/>
      <c r="AM321" s="285"/>
      <c r="AN321" s="285"/>
      <c r="AO321" s="285"/>
      <c r="AP321" s="285"/>
    </row>
    <row r="322" spans="2:42" s="267" customFormat="1" hidden="1" x14ac:dyDescent="0.2">
      <c r="B322" s="340"/>
      <c r="C322" s="297" t="s">
        <v>29</v>
      </c>
      <c r="D322" s="341">
        <f>PMT(D305/12,D304,-D313,,0)+O322</f>
        <v>104.05</v>
      </c>
      <c r="E322" s="297" t="s">
        <v>29</v>
      </c>
      <c r="F322" s="314">
        <f>PMT(D305/12,D304,-F313,0)-G314+O322</f>
        <v>91.59</v>
      </c>
      <c r="G322" s="283"/>
      <c r="H322" s="271"/>
      <c r="I322" s="271"/>
      <c r="J322" s="271"/>
      <c r="K322" s="287" t="s">
        <v>66</v>
      </c>
      <c r="L322" s="342">
        <f>IF(E333=1,L314,IF(E333=2,L315,IF(E333=3,L316,IF(E333=4,L317,IF(E333=5,L318,IF(E333=6,L319,IF(E333=7,L320,IF(E333=8,L321))))))))</f>
        <v>0.1132</v>
      </c>
      <c r="M322" s="273" t="s">
        <v>137</v>
      </c>
      <c r="N322" s="273"/>
      <c r="O322" s="343">
        <v>10.833299999999999</v>
      </c>
      <c r="P322" s="327" t="s">
        <v>149</v>
      </c>
      <c r="Q322" s="327" t="str">
        <f>IF(E333=1,"N/A",IF(E333=2,"N/A",IF(E333=3,"N/A",IF(E333=4,"5 Mths 0% Interest","N/A"))))</f>
        <v>N/A</v>
      </c>
      <c r="R322" s="287"/>
      <c r="W322" s="277">
        <f>IF(N345&gt;6000,W321,IF(N345&gt;3000,W320,IF(N345&gt;499,W319,"Min $500")))</f>
        <v>-2.5000000000000001E-2</v>
      </c>
      <c r="X322" s="277">
        <f>IF(N345&gt;6000,X321,IF(N345&gt;3000,X320,IF(N345&gt;499,X319,"Min $500")))</f>
        <v>-1.4999999999999999E-2</v>
      </c>
      <c r="Y322" s="277">
        <f>IF(N345&gt;6000,Y321,IF(N345&gt;3000,Y320,IF(N345&gt;499,Y319,"Min $500")))</f>
        <v>0</v>
      </c>
      <c r="Z322" s="277">
        <f>IF(N345&gt;6000,Z321,IF(N345&gt;3000,Z320,IF(N345&gt;499,Z319,"Min $500")))</f>
        <v>1.4999999999999999E-2</v>
      </c>
      <c r="AA322" s="300"/>
      <c r="AB322" s="338"/>
      <c r="AD322" s="283"/>
      <c r="AE322" s="283"/>
      <c r="AF322" s="283"/>
      <c r="AG322" s="294"/>
      <c r="AH322" s="268"/>
      <c r="AK322" s="283"/>
      <c r="AL322" s="283"/>
      <c r="AM322" s="283"/>
      <c r="AN322" s="290"/>
      <c r="AO322" s="283"/>
    </row>
    <row r="323" spans="2:42" s="267" customFormat="1" hidden="1" x14ac:dyDescent="0.2">
      <c r="B323" s="340"/>
      <c r="C323" s="297"/>
      <c r="D323" s="341"/>
      <c r="E323" s="297"/>
      <c r="F323" s="314"/>
      <c r="G323" s="283"/>
      <c r="H323" s="271"/>
      <c r="I323" s="271"/>
      <c r="J323" s="271"/>
      <c r="K323" s="273" t="s">
        <v>79</v>
      </c>
      <c r="L323" s="273"/>
      <c r="M323" s="288">
        <v>0.27950000000000003</v>
      </c>
      <c r="N323" s="344" t="s">
        <v>159</v>
      </c>
      <c r="O323" s="329">
        <v>55</v>
      </c>
      <c r="P323" s="345">
        <v>5.95</v>
      </c>
      <c r="Q323" s="327" t="str">
        <f>IF(E333=4,"6 Mths 0% Interest",IF(E333=5,"6 Mths 0% Interest","N,A"))</f>
        <v>N,A</v>
      </c>
      <c r="R323" s="287"/>
      <c r="AA323" s="300"/>
      <c r="AB323" s="338"/>
      <c r="AD323" s="283"/>
      <c r="AE323" s="283"/>
      <c r="AF323" s="283"/>
      <c r="AG323" s="294"/>
      <c r="AH323" s="268"/>
      <c r="AK323" s="283"/>
      <c r="AL323" s="283"/>
      <c r="AM323" s="283"/>
      <c r="AN323" s="290"/>
      <c r="AO323" s="283"/>
    </row>
    <row r="324" spans="2:42" s="267" customFormat="1" ht="16.149999999999999" hidden="1" customHeight="1" x14ac:dyDescent="0.2">
      <c r="C324" s="268"/>
      <c r="F324" s="287"/>
      <c r="G324" s="283"/>
      <c r="H324" s="271"/>
      <c r="I324" s="271"/>
      <c r="J324" s="271"/>
      <c r="K324" s="273" t="s">
        <v>80</v>
      </c>
      <c r="L324" s="273"/>
      <c r="M324" s="288">
        <v>0.27950000000000003</v>
      </c>
      <c r="N324" s="344" t="s">
        <v>158</v>
      </c>
      <c r="O324" s="329">
        <v>55</v>
      </c>
      <c r="P324" s="345">
        <v>10.833299999999999</v>
      </c>
      <c r="Q324" s="287" t="str">
        <f>IF(E333=5,"7 Mths 0% Interest",IF(E333=6,"7 Mths 0% Interest","N/A"))</f>
        <v>7 Mths 0% Interest</v>
      </c>
      <c r="W324" s="330" t="s">
        <v>154</v>
      </c>
      <c r="X324" s="330"/>
      <c r="Y324" s="330"/>
      <c r="Z324" s="277">
        <f>IF(E333=4,W329,IF(E333=5,X329,IF(E333=6,Y329,IF(E333=7,Z329))))</f>
        <v>0.01</v>
      </c>
      <c r="AA324" s="300"/>
      <c r="AB324" s="338"/>
      <c r="AD324" s="283"/>
      <c r="AE324" s="283"/>
      <c r="AF324" s="283"/>
      <c r="AG324" s="294"/>
      <c r="AH324" s="268"/>
      <c r="AK324" s="283"/>
      <c r="AL324" s="283"/>
      <c r="AM324" s="283"/>
      <c r="AN324" s="290"/>
      <c r="AO324" s="283"/>
    </row>
    <row r="325" spans="2:42" s="267" customFormat="1" hidden="1" x14ac:dyDescent="0.2">
      <c r="C325" s="346"/>
      <c r="E325" s="267" t="s">
        <v>177</v>
      </c>
      <c r="G325" s="283"/>
      <c r="H325" s="271"/>
      <c r="I325" s="271"/>
      <c r="J325" s="271"/>
      <c r="K325" s="287" t="s">
        <v>64</v>
      </c>
      <c r="L325" s="347">
        <v>1</v>
      </c>
      <c r="M325" s="288">
        <f>IF(L325=2,M324, IF(L325=1,M323))</f>
        <v>0.27950000000000003</v>
      </c>
      <c r="N325" s="287"/>
      <c r="O325" s="348">
        <f>IF(L325=2,O324, IF(L325=1,O323))</f>
        <v>55</v>
      </c>
      <c r="P325" s="349"/>
      <c r="Q325" s="287" t="str">
        <f>IF(E333=5,"8 Mths 0% Interest",IF(E333=6,"8 Mths 0% Interest",IF(E333=7,"8 Mths 0% Interest","N/A")))</f>
        <v>8 Mths 0% Interest</v>
      </c>
      <c r="W325" s="331" t="s">
        <v>49</v>
      </c>
      <c r="X325" s="331" t="s">
        <v>161</v>
      </c>
      <c r="Y325" s="331" t="s">
        <v>50</v>
      </c>
      <c r="Z325" s="331" t="s">
        <v>153</v>
      </c>
      <c r="AA325" s="300"/>
      <c r="AB325" s="338"/>
      <c r="AD325" s="283"/>
      <c r="AE325" s="283"/>
      <c r="AF325" s="283"/>
      <c r="AG325" s="294"/>
      <c r="AH325" s="268"/>
      <c r="AK325" s="283"/>
      <c r="AL325" s="283"/>
      <c r="AM325" s="283"/>
      <c r="AN325" s="290"/>
      <c r="AO325" s="283"/>
    </row>
    <row r="326" spans="2:42" s="267" customFormat="1" hidden="1" x14ac:dyDescent="0.2">
      <c r="C326" s="346"/>
      <c r="G326" s="283"/>
      <c r="H326" s="271"/>
      <c r="I326" s="271"/>
      <c r="J326" s="271"/>
      <c r="K326" s="287"/>
      <c r="L326" s="347"/>
      <c r="M326" s="288"/>
      <c r="N326" s="287"/>
      <c r="O326" s="348"/>
      <c r="P326" s="349"/>
      <c r="Q326" s="287" t="str">
        <f>IF(E333=6,"9 Mths 0% Interest",IF(E333=7,"9 Mths 0% Interest",IF(E333=8,"9 Mths 0% Interest","N/A")))</f>
        <v>9 Mths 0% Interest</v>
      </c>
      <c r="R326" s="287"/>
      <c r="W326" s="277">
        <v>-0.01</v>
      </c>
      <c r="X326" s="277">
        <v>0</v>
      </c>
      <c r="Y326" s="277">
        <v>0.01</v>
      </c>
      <c r="Z326" s="277">
        <v>0</v>
      </c>
      <c r="AA326" s="300"/>
      <c r="AB326" s="338"/>
      <c r="AD326" s="283"/>
      <c r="AE326" s="283"/>
      <c r="AF326" s="283"/>
      <c r="AG326" s="294"/>
      <c r="AH326" s="268"/>
      <c r="AK326" s="283"/>
      <c r="AL326" s="283"/>
      <c r="AM326" s="283"/>
      <c r="AN326" s="290"/>
      <c r="AO326" s="283"/>
    </row>
    <row r="327" spans="2:42" s="267" customFormat="1" hidden="1" x14ac:dyDescent="0.2">
      <c r="C327" s="346"/>
      <c r="G327" s="283"/>
      <c r="H327" s="271"/>
      <c r="I327" s="271"/>
      <c r="J327" s="271"/>
      <c r="K327" s="287"/>
      <c r="L327" s="347"/>
      <c r="M327" s="288"/>
      <c r="N327" s="287"/>
      <c r="O327" s="348"/>
      <c r="P327" s="349"/>
      <c r="Q327" s="287" t="str">
        <f>IF(E333=7,"10 Mths 0% Interest",IF(E333=8,"10 Mths 0% Interest","N/A"))</f>
        <v>N/A</v>
      </c>
      <c r="R327" s="287"/>
      <c r="W327" s="277">
        <v>-0.01</v>
      </c>
      <c r="X327" s="277">
        <v>0</v>
      </c>
      <c r="Y327" s="277">
        <v>0.01</v>
      </c>
      <c r="Z327" s="277">
        <v>0</v>
      </c>
      <c r="AA327" s="300"/>
      <c r="AB327" s="338"/>
      <c r="AD327" s="283"/>
      <c r="AE327" s="283"/>
      <c r="AF327" s="283"/>
      <c r="AG327" s="294"/>
      <c r="AH327" s="268"/>
      <c r="AK327" s="283"/>
      <c r="AL327" s="283"/>
      <c r="AM327" s="283"/>
      <c r="AN327" s="290"/>
      <c r="AO327" s="283"/>
    </row>
    <row r="328" spans="2:42" s="267" customFormat="1" hidden="1" x14ac:dyDescent="0.2">
      <c r="C328" s="346"/>
      <c r="G328" s="283"/>
      <c r="H328" s="271"/>
      <c r="I328" s="271"/>
      <c r="J328" s="271"/>
      <c r="K328" s="287"/>
      <c r="L328" s="347"/>
      <c r="M328" s="288"/>
      <c r="N328" s="287"/>
      <c r="O328" s="348"/>
      <c r="P328" s="349"/>
      <c r="Q328" s="287" t="str">
        <f>IF(E333=8,"11 Mths 0% Interest","N/A")</f>
        <v>N/A</v>
      </c>
      <c r="R328" s="287"/>
      <c r="W328" s="277">
        <v>-0.01</v>
      </c>
      <c r="X328" s="277">
        <v>0</v>
      </c>
      <c r="Y328" s="277">
        <v>0.01</v>
      </c>
      <c r="Z328" s="277">
        <v>0</v>
      </c>
      <c r="AA328" s="300"/>
      <c r="AB328" s="338"/>
      <c r="AD328" s="283"/>
      <c r="AE328" s="283"/>
      <c r="AF328" s="283"/>
      <c r="AG328" s="294"/>
      <c r="AH328" s="268"/>
      <c r="AK328" s="283"/>
      <c r="AL328" s="283"/>
      <c r="AM328" s="283"/>
      <c r="AN328" s="290"/>
      <c r="AO328" s="283"/>
    </row>
    <row r="329" spans="2:42" s="267" customFormat="1" hidden="1" x14ac:dyDescent="0.2">
      <c r="C329" s="346"/>
      <c r="G329" s="283"/>
      <c r="H329" s="271"/>
      <c r="I329" s="271"/>
      <c r="J329" s="271"/>
      <c r="K329" s="287"/>
      <c r="L329" s="347"/>
      <c r="M329" s="288"/>
      <c r="N329" s="287"/>
      <c r="O329" s="348"/>
      <c r="P329" s="349"/>
      <c r="Q329" s="327" t="str">
        <f>IF(E333=7,"N/A",IF(E333=8,"12 Mths 0% Interest","N/A"))</f>
        <v>N/A</v>
      </c>
      <c r="R329" s="287"/>
      <c r="W329" s="277">
        <f>IF(N345&gt;6000,W328,IF(N345&gt;3000,W327,IF(N345&gt;499,W326,"Min $500")))</f>
        <v>-0.01</v>
      </c>
      <c r="X329" s="277">
        <f>IF(N345&gt;6000,X328,IF(N345&gt;3000,X327,IF(N345&gt;499,X326,"Min $500")))</f>
        <v>0</v>
      </c>
      <c r="Y329" s="277">
        <f>IF(N345&gt;6000,Y328,IF(N345&gt;3000,Y327,IF(N345&gt;499,Y326,"Min $500")))</f>
        <v>0.01</v>
      </c>
      <c r="Z329" s="277">
        <f>IF(N345&gt;6000,Z328,IF(N345&gt;3000,Z327,IF(N345&gt;499,Z326,"Min $500")))</f>
        <v>0</v>
      </c>
      <c r="AA329" s="300"/>
      <c r="AB329" s="338"/>
      <c r="AD329" s="283"/>
      <c r="AE329" s="283"/>
      <c r="AF329" s="283"/>
      <c r="AG329" s="294"/>
      <c r="AH329" s="268"/>
      <c r="AK329" s="283"/>
      <c r="AL329" s="283"/>
      <c r="AM329" s="283"/>
      <c r="AN329" s="290"/>
      <c r="AO329" s="283"/>
    </row>
    <row r="330" spans="2:42" s="267" customFormat="1" hidden="1" x14ac:dyDescent="0.2">
      <c r="C330" s="346"/>
      <c r="G330" s="283"/>
      <c r="H330" s="271"/>
      <c r="I330" s="271"/>
      <c r="J330" s="271"/>
      <c r="AA330" s="300"/>
      <c r="AB330" s="338"/>
      <c r="AD330" s="283"/>
      <c r="AE330" s="283"/>
      <c r="AF330" s="283"/>
      <c r="AG330" s="294"/>
      <c r="AH330" s="268"/>
      <c r="AK330" s="283"/>
      <c r="AL330" s="283"/>
      <c r="AM330" s="283"/>
      <c r="AN330" s="290"/>
      <c r="AO330" s="283"/>
    </row>
    <row r="331" spans="2:42" s="267" customFormat="1" hidden="1" x14ac:dyDescent="0.2">
      <c r="B331" s="340"/>
      <c r="C331" s="297"/>
      <c r="D331" s="341"/>
      <c r="E331" s="297"/>
      <c r="F331" s="314"/>
      <c r="G331" s="283"/>
      <c r="H331" s="271"/>
      <c r="I331" s="271"/>
      <c r="J331" s="271"/>
      <c r="L331" s="350"/>
      <c r="M331" s="283"/>
      <c r="N331" s="351"/>
      <c r="O331" s="317"/>
      <c r="P331" s="317"/>
      <c r="Q331" s="352"/>
      <c r="V331" s="307" t="s">
        <v>112</v>
      </c>
      <c r="W331" s="307"/>
      <c r="X331" s="353" t="s">
        <v>52</v>
      </c>
      <c r="Y331" s="353">
        <f>N345</f>
        <v>2200</v>
      </c>
      <c r="Z331" s="286">
        <f>IF(E333=4,V336,IF(E333=5,W336,IF(E333=6,X336,IF(E333=7,Y336,IF(E333=8,Z336)))))</f>
        <v>0</v>
      </c>
      <c r="AA331" s="300"/>
      <c r="AB331" s="338"/>
      <c r="AD331" s="283"/>
      <c r="AE331" s="283"/>
      <c r="AF331" s="283"/>
      <c r="AG331" s="294"/>
      <c r="AH331" s="268"/>
      <c r="AK331" s="283"/>
      <c r="AL331" s="283"/>
      <c r="AM331" s="283"/>
      <c r="AN331" s="290"/>
      <c r="AO331" s="283"/>
    </row>
    <row r="332" spans="2:42" s="267" customFormat="1" hidden="1" x14ac:dyDescent="0.2">
      <c r="C332" s="303" t="s">
        <v>181</v>
      </c>
      <c r="D332" s="303" t="s">
        <v>81</v>
      </c>
      <c r="E332" s="354" t="s">
        <v>2</v>
      </c>
      <c r="F332" s="354" t="s">
        <v>110</v>
      </c>
      <c r="G332" s="303" t="s">
        <v>84</v>
      </c>
      <c r="K332" s="355" t="s">
        <v>115</v>
      </c>
      <c r="L332" s="355"/>
      <c r="M332" s="355"/>
      <c r="N332" s="277">
        <f>IF(F333=4,X303,IF(F333=5,Z303,IF(F333=6,Z310,IF(F333=7,Z317,IF(F333=8,Z324,IF(F333=9,Z331,IF(F333=10,Y338,IF(F333=11,AC338,IF(F333=12,X345,IF(F333=13,AB345,IF(F333=14,X352,IF(F333=15,AB352))))))))))))</f>
        <v>0</v>
      </c>
      <c r="O332" s="355" t="s">
        <v>114</v>
      </c>
      <c r="P332" s="355"/>
      <c r="Q332" s="355"/>
      <c r="R332" s="286" t="b">
        <f>IF(F333=3,S360)</f>
        <v>0</v>
      </c>
      <c r="S332" s="356">
        <f>IF(F333=3,R332,N332)</f>
        <v>0</v>
      </c>
      <c r="T332" s="356"/>
      <c r="U332" s="356"/>
      <c r="V332" s="310" t="s">
        <v>49</v>
      </c>
      <c r="W332" s="331" t="s">
        <v>161</v>
      </c>
      <c r="X332" s="310" t="s">
        <v>50</v>
      </c>
      <c r="Y332" s="331" t="s">
        <v>153</v>
      </c>
      <c r="Z332" s="310" t="s">
        <v>86</v>
      </c>
      <c r="AA332" s="300"/>
      <c r="AB332" s="304"/>
      <c r="AD332" s="283"/>
      <c r="AE332" s="283"/>
      <c r="AF332" s="283"/>
      <c r="AG332" s="294"/>
      <c r="AH332" s="268"/>
      <c r="AK332" s="283"/>
      <c r="AL332" s="283"/>
      <c r="AM332" s="283"/>
      <c r="AN332" s="290"/>
      <c r="AO332" s="268"/>
    </row>
    <row r="333" spans="2:42" s="267" customFormat="1" hidden="1" x14ac:dyDescent="0.2">
      <c r="C333" s="357">
        <f>IF(C335&gt;C334,F320, IF(C335&lt;C334,F321))</f>
        <v>0.2661</v>
      </c>
      <c r="D333" s="358">
        <v>1</v>
      </c>
      <c r="E333" s="318">
        <v>6</v>
      </c>
      <c r="F333" s="318">
        <v>10</v>
      </c>
      <c r="G333" s="325" t="str">
        <f>IF(F321&lt;D305,"Interest Rate",IF(F321&gt;D305,"Interest Free"))</f>
        <v>Interest Rate</v>
      </c>
      <c r="K333" s="307" t="s">
        <v>121</v>
      </c>
      <c r="L333" s="307"/>
      <c r="M333" s="307"/>
      <c r="N333" s="359" t="s">
        <v>117</v>
      </c>
      <c r="O333" s="359" t="s">
        <v>118</v>
      </c>
      <c r="P333" s="273" t="s">
        <v>119</v>
      </c>
      <c r="Q333" s="273"/>
      <c r="R333" s="273" t="s">
        <v>133</v>
      </c>
      <c r="S333" s="273"/>
      <c r="T333" s="303"/>
      <c r="U333" s="303"/>
      <c r="V333" s="286">
        <v>-1.4999999999999999E-2</v>
      </c>
      <c r="W333" s="277">
        <v>0</v>
      </c>
      <c r="X333" s="286">
        <v>0</v>
      </c>
      <c r="Y333" s="277">
        <v>0</v>
      </c>
      <c r="Z333" s="286">
        <v>1.4999999999999999E-2</v>
      </c>
      <c r="AA333" s="300"/>
      <c r="AB333" s="327"/>
      <c r="AC333" s="360"/>
      <c r="AD333" s="360"/>
      <c r="AE333" s="360"/>
      <c r="AF333" s="360"/>
      <c r="AG333" s="360"/>
      <c r="AH333" s="360"/>
      <c r="AI333" s="360"/>
      <c r="AJ333" s="285"/>
      <c r="AK333" s="285"/>
      <c r="AL333" s="285"/>
      <c r="AM333" s="285"/>
      <c r="AN333" s="285"/>
      <c r="AO333" s="285"/>
      <c r="AP333" s="285"/>
    </row>
    <row r="334" spans="2:42" s="267" customFormat="1" ht="13.5" hidden="1" customHeight="1" x14ac:dyDescent="0.2">
      <c r="C334" s="357">
        <f>$D$320</f>
        <v>0.27950000000000003</v>
      </c>
      <c r="E334" s="283"/>
      <c r="F334" s="361"/>
      <c r="G334" s="325">
        <f>IF(F321&lt;D305,F321, "For Promotion Term")</f>
        <v>0.2661</v>
      </c>
      <c r="K334" s="307"/>
      <c r="L334" s="307"/>
      <c r="M334" s="307"/>
      <c r="N334" s="354">
        <f>G344*S332</f>
        <v>0</v>
      </c>
      <c r="O334" s="362">
        <f>$S$336</f>
        <v>281.95999999999998</v>
      </c>
      <c r="P334" s="363">
        <f>S336-G348</f>
        <v>281.95999999999998</v>
      </c>
      <c r="Q334" s="363"/>
      <c r="R334" s="363">
        <f>S336-G348+F310-10</f>
        <v>326.95999999999998</v>
      </c>
      <c r="S334" s="363"/>
      <c r="T334" s="364"/>
      <c r="U334" s="364"/>
      <c r="V334" s="286">
        <v>-1.4999999999999999E-2</v>
      </c>
      <c r="W334" s="277">
        <v>0</v>
      </c>
      <c r="X334" s="286">
        <v>0</v>
      </c>
      <c r="Y334" s="277">
        <v>0</v>
      </c>
      <c r="Z334" s="286">
        <v>1.4999999999999999E-2</v>
      </c>
      <c r="AA334" s="300"/>
      <c r="AB334" s="327"/>
      <c r="AC334" s="135"/>
      <c r="AD334" s="295"/>
      <c r="AE334" s="295"/>
      <c r="AF334" s="295"/>
      <c r="AG334" s="286"/>
      <c r="AH334" s="268"/>
      <c r="AI334" s="135"/>
      <c r="AJ334" s="135"/>
      <c r="AK334" s="295"/>
      <c r="AL334" s="295"/>
      <c r="AM334" s="295"/>
      <c r="AN334" s="365"/>
      <c r="AO334" s="268"/>
      <c r="AP334" s="135"/>
    </row>
    <row r="335" spans="2:42" s="267" customFormat="1" ht="13.5" hidden="1" customHeight="1" x14ac:dyDescent="0.2">
      <c r="C335" s="357">
        <f>$F$321</f>
        <v>0.2661</v>
      </c>
      <c r="G335" s="325">
        <f>IF(F333&gt;2,G334," ")</f>
        <v>0.2661</v>
      </c>
      <c r="H335" s="366"/>
      <c r="K335" s="367" t="s">
        <v>53</v>
      </c>
      <c r="L335" s="367" t="s">
        <v>113</v>
      </c>
      <c r="M335" s="367" t="s">
        <v>2</v>
      </c>
      <c r="N335" s="368" t="s">
        <v>55</v>
      </c>
      <c r="O335" s="367" t="s">
        <v>56</v>
      </c>
      <c r="P335" s="303"/>
      <c r="Q335" s="368" t="s">
        <v>57</v>
      </c>
      <c r="R335" s="367" t="s">
        <v>58</v>
      </c>
      <c r="S335" s="368" t="s">
        <v>59</v>
      </c>
      <c r="T335" s="368"/>
      <c r="U335" s="368"/>
      <c r="V335" s="286">
        <v>-1.4999999999999999E-2</v>
      </c>
      <c r="W335" s="277">
        <v>0</v>
      </c>
      <c r="X335" s="286">
        <v>0</v>
      </c>
      <c r="Y335" s="277">
        <v>0</v>
      </c>
      <c r="Z335" s="286">
        <v>1.4999999999999999E-2</v>
      </c>
      <c r="AA335" s="300"/>
      <c r="AB335" s="327"/>
      <c r="AC335" s="135"/>
      <c r="AD335" s="295"/>
      <c r="AE335" s="295"/>
      <c r="AF335" s="295"/>
      <c r="AG335" s="294"/>
      <c r="AH335" s="268"/>
      <c r="AI335" s="135"/>
      <c r="AJ335" s="135"/>
      <c r="AK335" s="295"/>
      <c r="AL335" s="295"/>
      <c r="AM335" s="295"/>
      <c r="AN335" s="365"/>
      <c r="AO335" s="268"/>
      <c r="AP335" s="135"/>
    </row>
    <row r="336" spans="2:42" s="267" customFormat="1" hidden="1" x14ac:dyDescent="0.2">
      <c r="H336" s="366"/>
      <c r="K336" s="307">
        <f>$D$313</f>
        <v>2255</v>
      </c>
      <c r="L336" s="369">
        <f>$O$316</f>
        <v>7</v>
      </c>
      <c r="M336" s="369">
        <f>$N$316</f>
        <v>36</v>
      </c>
      <c r="N336" s="370">
        <f>IF(F333=1,D320,C333)</f>
        <v>0.2661</v>
      </c>
      <c r="O336" s="370">
        <v>0.17899999999999999</v>
      </c>
      <c r="P336" s="371"/>
      <c r="Q336" s="372">
        <f>PMT(N336/12, M336,-K336)</f>
        <v>91.59</v>
      </c>
      <c r="R336" s="372">
        <f>PV(O336/12, M336, -Q336)</f>
        <v>2536.96</v>
      </c>
      <c r="S336" s="372">
        <f>R336-K336</f>
        <v>281.95999999999998</v>
      </c>
      <c r="T336" s="373"/>
      <c r="U336" s="373"/>
      <c r="V336" s="286">
        <f>IF(Y331&gt;6000,V335, IF(Y331&gt;3000,V334, IF(Y331&gt;499,V333, "Min $500")))</f>
        <v>-1.4999999999999999E-2</v>
      </c>
      <c r="W336" s="277">
        <f>IF(Y331&gt;6000,W335,IF(Y331&gt;3000,W334,IF(Y331&gt;499,W333,"Min $500")))</f>
        <v>0</v>
      </c>
      <c r="X336" s="286">
        <f>IF(Y331&gt;6000,X335, IF(Y331&gt;3000,X334, IF(Y331&gt;499,X333, "Min $500")))</f>
        <v>0</v>
      </c>
      <c r="Y336" s="277">
        <f>IF(Y331&gt;6000,Y335,IF(Y331&gt;3000,Y334,IF(Y331&gt;499,Y333,"Min $500")))</f>
        <v>0</v>
      </c>
      <c r="Z336" s="286">
        <f>IF(Y331&gt;6000,Z335, IF(Y331&gt;3000,Z334, IF(Y331&gt;499,Z333, "Min $500")))</f>
        <v>1.4999999999999999E-2</v>
      </c>
      <c r="AA336" s="300"/>
      <c r="AC336" s="135"/>
      <c r="AD336" s="295"/>
      <c r="AE336" s="295"/>
      <c r="AF336" s="295"/>
      <c r="AG336" s="294"/>
      <c r="AH336" s="268"/>
      <c r="AI336" s="135"/>
      <c r="AJ336" s="135"/>
      <c r="AK336" s="283"/>
      <c r="AL336" s="295"/>
      <c r="AM336" s="295"/>
      <c r="AN336" s="365"/>
      <c r="AO336" s="268"/>
      <c r="AP336" s="135"/>
    </row>
    <row r="337" spans="2:42" s="267" customFormat="1" ht="16.5" hidden="1" customHeight="1" x14ac:dyDescent="0.2">
      <c r="C337" s="374" t="s">
        <v>67</v>
      </c>
      <c r="D337" s="374"/>
      <c r="E337" s="374"/>
      <c r="F337" s="374"/>
      <c r="G337" s="375">
        <f>$D$314</f>
        <v>1100.8</v>
      </c>
      <c r="K337" s="307"/>
      <c r="L337" s="369"/>
      <c r="M337" s="369"/>
      <c r="N337" s="370"/>
      <c r="O337" s="370"/>
      <c r="P337" s="371"/>
      <c r="Q337" s="372"/>
      <c r="R337" s="372"/>
      <c r="S337" s="372"/>
      <c r="T337" s="373"/>
      <c r="U337" s="373"/>
      <c r="V337" s="268"/>
      <c r="W337" s="268"/>
      <c r="X337" s="268"/>
      <c r="Y337" s="268"/>
      <c r="Z337" s="268"/>
      <c r="AA337" s="283"/>
      <c r="AB337" s="283"/>
      <c r="AC337" s="283"/>
      <c r="AD337" s="283"/>
      <c r="AE337" s="283"/>
      <c r="AF337" s="283"/>
      <c r="AG337" s="283"/>
      <c r="AH337" s="283"/>
      <c r="AI337" s="283"/>
      <c r="AJ337" s="283"/>
      <c r="AK337" s="283"/>
      <c r="AL337" s="283"/>
      <c r="AM337" s="283"/>
      <c r="AN337" s="283"/>
      <c r="AO337" s="283"/>
      <c r="AP337" s="283"/>
    </row>
    <row r="338" spans="2:42" s="267" customFormat="1" ht="15.75" hidden="1" customHeight="1" x14ac:dyDescent="0.2">
      <c r="C338" s="374"/>
      <c r="D338" s="374"/>
      <c r="E338" s="374"/>
      <c r="F338" s="374"/>
      <c r="G338" s="375"/>
      <c r="I338" s="366"/>
      <c r="J338" s="366"/>
      <c r="V338" s="330" t="s">
        <v>168</v>
      </c>
      <c r="W338" s="330"/>
      <c r="X338" s="330"/>
      <c r="Y338" s="277">
        <f>IF(E333=5,V343,IF(E333=6,W343,IF(E333=7,X343,IF(E333=8,Y343))))</f>
        <v>0</v>
      </c>
      <c r="Z338" s="330" t="s">
        <v>169</v>
      </c>
      <c r="AA338" s="330"/>
      <c r="AB338" s="330"/>
      <c r="AC338" s="277">
        <f>IF(E333=5,Z343,IF(E333=6,AA343,IF(E333=7,AB343,IF(E333=8,AC343))))</f>
        <v>-1.4999999999999999E-2</v>
      </c>
      <c r="AD338" s="283"/>
      <c r="AE338" s="283"/>
      <c r="AF338" s="283"/>
      <c r="AG338" s="283"/>
      <c r="AH338" s="283"/>
      <c r="AI338" s="283"/>
      <c r="AJ338" s="283"/>
      <c r="AK338" s="283"/>
      <c r="AL338" s="283"/>
      <c r="AM338" s="283"/>
      <c r="AN338" s="283"/>
      <c r="AO338" s="283"/>
      <c r="AP338" s="283"/>
    </row>
    <row r="339" spans="2:42" s="268" customFormat="1" hidden="1" x14ac:dyDescent="0.2">
      <c r="B339" s="267"/>
      <c r="C339" s="374" t="s">
        <v>63</v>
      </c>
      <c r="D339" s="374"/>
      <c r="E339" s="374"/>
      <c r="F339" s="374"/>
      <c r="G339" s="375">
        <f>IF(F333=1,0,IF(F333=2,0,IF(F333=3,0,IF(F333&gt;3,G337-G341))))</f>
        <v>652.24</v>
      </c>
      <c r="I339" s="267"/>
      <c r="J339" s="267"/>
      <c r="K339" s="307" t="s">
        <v>120</v>
      </c>
      <c r="L339" s="307"/>
      <c r="M339" s="307"/>
      <c r="N339" s="359" t="s">
        <v>117</v>
      </c>
      <c r="O339" s="359" t="s">
        <v>118</v>
      </c>
      <c r="P339" s="272" t="s">
        <v>119</v>
      </c>
      <c r="Q339" s="272"/>
      <c r="R339" s="272" t="s">
        <v>133</v>
      </c>
      <c r="S339" s="272"/>
      <c r="T339" s="359"/>
      <c r="V339" s="331" t="s">
        <v>161</v>
      </c>
      <c r="W339" s="331" t="s">
        <v>50</v>
      </c>
      <c r="X339" s="331" t="s">
        <v>153</v>
      </c>
      <c r="Y339" s="331" t="s">
        <v>86</v>
      </c>
      <c r="Z339" s="331" t="s">
        <v>161</v>
      </c>
      <c r="AA339" s="331" t="s">
        <v>50</v>
      </c>
      <c r="AB339" s="331" t="s">
        <v>153</v>
      </c>
      <c r="AC339" s="331" t="s">
        <v>86</v>
      </c>
      <c r="AD339" s="283"/>
      <c r="AE339" s="283"/>
      <c r="AF339" s="283"/>
      <c r="AG339" s="283"/>
      <c r="AH339" s="283"/>
      <c r="AI339" s="283"/>
      <c r="AJ339" s="283"/>
      <c r="AK339" s="283"/>
      <c r="AL339" s="283"/>
      <c r="AM339" s="283"/>
      <c r="AN339" s="283"/>
      <c r="AO339" s="283"/>
      <c r="AP339" s="283"/>
    </row>
    <row r="340" spans="2:42" s="267" customFormat="1" hidden="1" x14ac:dyDescent="0.2">
      <c r="C340" s="374"/>
      <c r="D340" s="374"/>
      <c r="E340" s="374"/>
      <c r="F340" s="374"/>
      <c r="G340" s="375"/>
      <c r="K340" s="307"/>
      <c r="L340" s="307"/>
      <c r="M340" s="307"/>
      <c r="N340" s="371">
        <f>G344*S360*(-1)</f>
        <v>0</v>
      </c>
      <c r="O340" s="371">
        <f>K342*R360*(-1)</f>
        <v>0</v>
      </c>
      <c r="P340" s="363">
        <f>O340-N340</f>
        <v>0</v>
      </c>
      <c r="Q340" s="363"/>
      <c r="R340" s="363">
        <f>P340*(1)+F310-10</f>
        <v>45</v>
      </c>
      <c r="S340" s="363"/>
      <c r="T340" s="364"/>
      <c r="V340" s="277">
        <v>-1.4999999999999999E-2</v>
      </c>
      <c r="W340" s="277">
        <v>0</v>
      </c>
      <c r="X340" s="277">
        <v>0</v>
      </c>
      <c r="Y340" s="277">
        <v>0.01</v>
      </c>
      <c r="Z340" s="277">
        <v>-2.5000000000000001E-2</v>
      </c>
      <c r="AA340" s="277">
        <v>-1.4999999999999999E-2</v>
      </c>
      <c r="AB340" s="277">
        <v>0</v>
      </c>
      <c r="AC340" s="277">
        <v>0</v>
      </c>
      <c r="AD340" s="283"/>
      <c r="AE340" s="283"/>
      <c r="AF340" s="283"/>
      <c r="AG340" s="283"/>
      <c r="AH340" s="283"/>
      <c r="AI340" s="283"/>
      <c r="AJ340" s="283"/>
      <c r="AK340" s="283"/>
      <c r="AL340" s="283"/>
      <c r="AM340" s="283"/>
      <c r="AN340" s="283"/>
      <c r="AO340" s="283"/>
      <c r="AP340" s="283"/>
    </row>
    <row r="341" spans="2:42" s="267" customFormat="1" hidden="1" x14ac:dyDescent="0.2">
      <c r="C341" s="374" t="s">
        <v>45</v>
      </c>
      <c r="D341" s="374"/>
      <c r="E341" s="374"/>
      <c r="F341" s="374"/>
      <c r="G341" s="375">
        <f>IF($F333=1,0,IF($F333=2,0,IF($F333=3,D314,IF($F333&gt;3,D314-F314))))</f>
        <v>448.56</v>
      </c>
      <c r="J341" s="376"/>
      <c r="K341" s="367" t="s">
        <v>53</v>
      </c>
      <c r="L341" s="377" t="s">
        <v>54</v>
      </c>
      <c r="M341" s="367" t="s">
        <v>2</v>
      </c>
      <c r="N341" s="368" t="s">
        <v>55</v>
      </c>
      <c r="O341" s="367" t="s">
        <v>56</v>
      </c>
      <c r="P341" s="267" t="s">
        <v>116</v>
      </c>
      <c r="Q341" s="368" t="s">
        <v>57</v>
      </c>
      <c r="R341" s="367" t="s">
        <v>58</v>
      </c>
      <c r="S341" s="368" t="s">
        <v>59</v>
      </c>
      <c r="T341" s="368"/>
      <c r="V341" s="277">
        <v>-1.4999999999999999E-2</v>
      </c>
      <c r="W341" s="277">
        <v>0</v>
      </c>
      <c r="X341" s="277">
        <v>0</v>
      </c>
      <c r="Y341" s="277">
        <v>0.01</v>
      </c>
      <c r="Z341" s="277">
        <v>-2.5000000000000001E-2</v>
      </c>
      <c r="AA341" s="277">
        <v>-1.4999999999999999E-2</v>
      </c>
      <c r="AB341" s="277">
        <v>0</v>
      </c>
      <c r="AC341" s="277">
        <v>0</v>
      </c>
      <c r="AD341" s="283"/>
      <c r="AE341" s="283"/>
      <c r="AF341" s="283"/>
      <c r="AG341" s="283"/>
      <c r="AH341" s="283"/>
      <c r="AI341" s="283"/>
      <c r="AJ341" s="283"/>
      <c r="AK341" s="283"/>
      <c r="AL341" s="283"/>
      <c r="AM341" s="283"/>
      <c r="AN341" s="283"/>
      <c r="AO341" s="283"/>
      <c r="AP341" s="283"/>
    </row>
    <row r="342" spans="2:42" s="267" customFormat="1" hidden="1" x14ac:dyDescent="0.2">
      <c r="C342" s="374"/>
      <c r="D342" s="374"/>
      <c r="E342" s="374"/>
      <c r="F342" s="374"/>
      <c r="G342" s="375"/>
      <c r="H342" s="268"/>
      <c r="J342" s="378"/>
      <c r="K342" s="307">
        <f>$D$313</f>
        <v>2255</v>
      </c>
      <c r="L342" s="369">
        <f>$N$316</f>
        <v>36</v>
      </c>
      <c r="M342" s="369">
        <f>$N$316</f>
        <v>36</v>
      </c>
      <c r="N342" s="370">
        <v>0</v>
      </c>
      <c r="O342" s="370">
        <v>0.17899999999999999</v>
      </c>
      <c r="P342" s="307">
        <f>K342*R360</f>
        <v>0</v>
      </c>
      <c r="Q342" s="372">
        <f>PMT(N342/12, M342,-K342)</f>
        <v>62.64</v>
      </c>
      <c r="R342" s="372">
        <f>PV(O342/12, M342, -Q342)</f>
        <v>1735.07</v>
      </c>
      <c r="S342" s="372">
        <f>R342-K342</f>
        <v>-519.92999999999995</v>
      </c>
      <c r="T342" s="373"/>
      <c r="V342" s="277">
        <v>-1.4999999999999999E-2</v>
      </c>
      <c r="W342" s="277">
        <v>0</v>
      </c>
      <c r="X342" s="277">
        <v>0</v>
      </c>
      <c r="Y342" s="277">
        <v>0.01</v>
      </c>
      <c r="Z342" s="277">
        <v>-2.5000000000000001E-2</v>
      </c>
      <c r="AA342" s="277">
        <v>-1.4999999999999999E-2</v>
      </c>
      <c r="AB342" s="277">
        <v>0</v>
      </c>
      <c r="AC342" s="277">
        <v>0</v>
      </c>
      <c r="AD342" s="283"/>
      <c r="AE342" s="283"/>
      <c r="AF342" s="283"/>
      <c r="AG342" s="283"/>
      <c r="AH342" s="283"/>
      <c r="AI342" s="283"/>
      <c r="AJ342" s="283"/>
      <c r="AK342" s="283"/>
      <c r="AL342" s="283"/>
      <c r="AM342" s="283"/>
      <c r="AN342" s="283"/>
      <c r="AO342" s="283"/>
      <c r="AP342" s="283"/>
    </row>
    <row r="343" spans="2:42" s="267" customFormat="1" hidden="1" x14ac:dyDescent="0.2">
      <c r="C343" s="272"/>
      <c r="D343" s="272"/>
      <c r="E343" s="272"/>
      <c r="F343" s="272"/>
      <c r="G343" s="272"/>
      <c r="H343" s="296"/>
      <c r="I343" s="268"/>
      <c r="J343" s="378"/>
      <c r="K343" s="307"/>
      <c r="L343" s="369"/>
      <c r="M343" s="369"/>
      <c r="N343" s="370"/>
      <c r="O343" s="370"/>
      <c r="P343" s="307"/>
      <c r="Q343" s="372"/>
      <c r="R343" s="372"/>
      <c r="S343" s="372"/>
      <c r="T343" s="373"/>
      <c r="V343" s="277">
        <f>IF(Y331&gt;6000,V342,IF(Y331&gt;3000,V341,IF(Y331&gt;499,V340,"Min $500")))</f>
        <v>-1.4999999999999999E-2</v>
      </c>
      <c r="W343" s="277">
        <f>IF(Y331&gt;6000,W342,IF(Y331&gt;3000,W341,IF(Y331&gt;499,W340,"Min $500")))</f>
        <v>0</v>
      </c>
      <c r="X343" s="277">
        <f>IF(Y331&gt;6000,X342,IF(Y331&gt;3000,X341,IF(Y331&gt;499,X340,"Min $500")))</f>
        <v>0</v>
      </c>
      <c r="Y343" s="277">
        <f>IF(Y331&gt;6000,Y342,IF(Y331&gt;3000,Y341,IF(Y331&gt;499,Y340,"Min $500")))</f>
        <v>0.01</v>
      </c>
      <c r="Z343" s="277">
        <f>IF(X331&gt;6000,Z342,IF(X331&gt;3000,Z341,IF(X331&gt;499,Z340,"Min $500")))</f>
        <v>-2.5000000000000001E-2</v>
      </c>
      <c r="AA343" s="277">
        <f>IF(Y331&gt;6000,AA342,IF(Y331&gt;3000,AA341,IF(Y331&gt;499,AA340,"Min $500")))</f>
        <v>-1.4999999999999999E-2</v>
      </c>
      <c r="AB343" s="277">
        <f>IF(Y331&gt;6000,AB342,IF(Y331&gt;3000,AB341,IF(Y331&gt;499,AB340,"Min $500")))</f>
        <v>0</v>
      </c>
      <c r="AC343" s="277">
        <f>IF(Y331&gt;6000,AC342,IF(Y331&gt;3000,AC341,IF(Y331&gt;499,AC340,"Min $500")))</f>
        <v>0</v>
      </c>
      <c r="AD343" s="283"/>
      <c r="AE343" s="283"/>
      <c r="AF343" s="283"/>
      <c r="AG343" s="283"/>
      <c r="AH343" s="283"/>
      <c r="AI343" s="283"/>
      <c r="AJ343" s="283"/>
      <c r="AK343" s="283"/>
      <c r="AL343" s="283"/>
      <c r="AM343" s="283"/>
      <c r="AN343" s="283"/>
      <c r="AO343" s="283"/>
      <c r="AP343" s="283"/>
    </row>
    <row r="344" spans="2:42" s="267" customFormat="1" hidden="1" x14ac:dyDescent="0.2">
      <c r="C344" s="374" t="s">
        <v>94</v>
      </c>
      <c r="D344" s="374"/>
      <c r="E344" s="374"/>
      <c r="F344" s="374"/>
      <c r="G344" s="375">
        <f>D307-D312</f>
        <v>2200</v>
      </c>
      <c r="H344" s="297"/>
      <c r="J344" s="378"/>
      <c r="AA344" s="283"/>
      <c r="AB344" s="283"/>
      <c r="AC344" s="283"/>
      <c r="AD344" s="283"/>
      <c r="AE344" s="283"/>
      <c r="AF344" s="283"/>
      <c r="AG344" s="283"/>
      <c r="AH344" s="283"/>
      <c r="AI344" s="283"/>
      <c r="AJ344" s="283"/>
      <c r="AK344" s="283"/>
      <c r="AL344" s="283"/>
      <c r="AM344" s="283"/>
      <c r="AN344" s="283"/>
      <c r="AO344" s="283"/>
      <c r="AP344" s="283"/>
    </row>
    <row r="345" spans="2:42" s="267" customFormat="1" hidden="1" x14ac:dyDescent="0.2">
      <c r="C345" s="374"/>
      <c r="D345" s="374"/>
      <c r="E345" s="374"/>
      <c r="F345" s="374"/>
      <c r="G345" s="375"/>
      <c r="H345" s="379"/>
      <c r="J345" s="378"/>
      <c r="K345" s="307" t="s">
        <v>164</v>
      </c>
      <c r="L345" s="307"/>
      <c r="M345" s="380" t="s">
        <v>165</v>
      </c>
      <c r="N345" s="307">
        <f>G34</f>
        <v>2200</v>
      </c>
      <c r="O345" s="307"/>
      <c r="P345" s="285" t="s">
        <v>163</v>
      </c>
      <c r="Q345" s="285"/>
      <c r="R345" s="307">
        <f>N345*K351</f>
        <v>55</v>
      </c>
      <c r="S345" s="307"/>
      <c r="T345" s="310"/>
      <c r="U345" s="310"/>
      <c r="V345" s="330" t="s">
        <v>88</v>
      </c>
      <c r="W345" s="330"/>
      <c r="X345" s="277">
        <f>IF(E333=6,V350,IF(E333=7,W350,IF(E333=8,X350)))</f>
        <v>-2.5000000000000001E-2</v>
      </c>
      <c r="AA345" s="381" t="s">
        <v>172</v>
      </c>
      <c r="AB345" s="277" t="b">
        <f>IF(E333=7,AA350,IF(E333=8,AB350))</f>
        <v>0</v>
      </c>
      <c r="AC345" s="283"/>
      <c r="AD345" s="283"/>
      <c r="AE345" s="283"/>
      <c r="AF345" s="283"/>
      <c r="AG345" s="283"/>
      <c r="AH345" s="283"/>
      <c r="AI345" s="283"/>
      <c r="AJ345" s="283"/>
      <c r="AK345" s="283"/>
      <c r="AL345" s="283"/>
      <c r="AM345" s="283"/>
      <c r="AN345" s="283"/>
      <c r="AO345" s="283"/>
      <c r="AP345" s="283"/>
    </row>
    <row r="346" spans="2:42" s="267" customFormat="1" hidden="1" x14ac:dyDescent="0.2">
      <c r="C346" s="374" t="str">
        <f>IF(G348&lt;0,"Retention % of Purchase Price - Deposit",IF(G348&gt;0,"Rebate % of Purchase Price - Deposit",IF(G348=0,"No Rebate or Retention")))</f>
        <v>No Rebate or Retention</v>
      </c>
      <c r="D346" s="374"/>
      <c r="E346" s="374"/>
      <c r="F346" s="374"/>
      <c r="G346" s="382">
        <f>G348/G344*1</f>
        <v>0</v>
      </c>
      <c r="H346" s="379"/>
      <c r="K346" s="307"/>
      <c r="L346" s="307"/>
      <c r="M346" s="380"/>
      <c r="N346" s="307"/>
      <c r="O346" s="307"/>
      <c r="P346" s="285"/>
      <c r="Q346" s="285"/>
      <c r="R346" s="307"/>
      <c r="S346" s="307"/>
      <c r="T346" s="286"/>
      <c r="U346" s="286"/>
      <c r="V346" s="331" t="s">
        <v>50</v>
      </c>
      <c r="W346" s="331" t="s">
        <v>153</v>
      </c>
      <c r="X346" s="331" t="s">
        <v>86</v>
      </c>
      <c r="AA346" s="331" t="s">
        <v>153</v>
      </c>
      <c r="AB346" s="331" t="s">
        <v>86</v>
      </c>
      <c r="AC346" s="383"/>
      <c r="AD346" s="383"/>
      <c r="AE346" s="383"/>
      <c r="AF346" s="383"/>
      <c r="AG346" s="383"/>
      <c r="AH346" s="383"/>
      <c r="AI346" s="383"/>
      <c r="AJ346" s="384"/>
      <c r="AK346" s="384"/>
      <c r="AL346" s="384"/>
      <c r="AM346" s="384"/>
      <c r="AN346" s="384"/>
      <c r="AO346" s="384"/>
      <c r="AP346" s="384"/>
    </row>
    <row r="347" spans="2:42" s="267" customFormat="1" hidden="1" x14ac:dyDescent="0.2">
      <c r="C347" s="374"/>
      <c r="D347" s="374"/>
      <c r="E347" s="374"/>
      <c r="F347" s="374"/>
      <c r="G347" s="382"/>
      <c r="H347" s="308"/>
      <c r="K347" s="303" t="s">
        <v>60</v>
      </c>
      <c r="L347" s="310" t="s">
        <v>46</v>
      </c>
      <c r="M347" s="310" t="s">
        <v>47</v>
      </c>
      <c r="N347" s="310" t="s">
        <v>48</v>
      </c>
      <c r="O347" s="310" t="s">
        <v>49</v>
      </c>
      <c r="P347" s="310" t="s">
        <v>161</v>
      </c>
      <c r="Q347" s="310" t="s">
        <v>50</v>
      </c>
      <c r="R347" s="310" t="s">
        <v>153</v>
      </c>
      <c r="S347" s="310" t="s">
        <v>86</v>
      </c>
      <c r="T347" s="286"/>
      <c r="U347" s="286"/>
      <c r="V347" s="277">
        <v>-2.5000000000000001E-2</v>
      </c>
      <c r="W347" s="277">
        <v>-1.4999999999999999E-2</v>
      </c>
      <c r="X347" s="277">
        <v>0</v>
      </c>
      <c r="AA347" s="277">
        <v>-2.5000000000000001E-2</v>
      </c>
      <c r="AB347" s="277">
        <v>-1.4999999999999999E-2</v>
      </c>
      <c r="AC347" s="135"/>
      <c r="AD347" s="295"/>
      <c r="AE347" s="295"/>
      <c r="AF347" s="295"/>
      <c r="AG347" s="365"/>
      <c r="AH347" s="385"/>
      <c r="AI347" s="135"/>
      <c r="AJ347" s="135"/>
      <c r="AK347" s="295"/>
      <c r="AL347" s="295"/>
      <c r="AM347" s="295"/>
      <c r="AN347" s="386"/>
      <c r="AO347" s="268"/>
      <c r="AP347" s="135"/>
    </row>
    <row r="348" spans="2:42" s="267" customFormat="1" hidden="1" x14ac:dyDescent="0.2">
      <c r="C348" s="387" t="str">
        <f>IF(G348&lt;0,"Retention amount to be deducted", IF(G348&gt;0,"Rebate amount to be added",IF(G348=0,"No Rebate or Retention")))</f>
        <v>No Rebate or Retention</v>
      </c>
      <c r="D348" s="387"/>
      <c r="E348" s="387"/>
      <c r="F348" s="387"/>
      <c r="G348" s="375">
        <f>IF(F333=1,R345,IF(F333=2,"$0.00",IF(F333=3,N340,IF(F333=4,N334,IF(F333&gt;4,N334)))))</f>
        <v>0</v>
      </c>
      <c r="H348" s="308"/>
      <c r="I348" s="297"/>
      <c r="J348" s="297"/>
      <c r="K348" s="292" t="s">
        <v>76</v>
      </c>
      <c r="L348" s="286">
        <v>5.0000000000000001E-3</v>
      </c>
      <c r="M348" s="286">
        <v>0.01</v>
      </c>
      <c r="N348" s="286">
        <v>1.4E-2</v>
      </c>
      <c r="O348" s="286">
        <v>1.7000000000000001E-2</v>
      </c>
      <c r="P348" s="286">
        <v>0.02</v>
      </c>
      <c r="Q348" s="286">
        <v>2.5000000000000001E-2</v>
      </c>
      <c r="R348" s="286">
        <v>0.03</v>
      </c>
      <c r="S348" s="286">
        <v>0.03</v>
      </c>
      <c r="T348" s="286"/>
      <c r="U348" s="286"/>
      <c r="V348" s="277">
        <v>-2.5000000000000001E-2</v>
      </c>
      <c r="W348" s="277">
        <v>-1.4999999999999999E-2</v>
      </c>
      <c r="X348" s="277">
        <v>0</v>
      </c>
      <c r="AA348" s="277">
        <v>-2.5000000000000001E-2</v>
      </c>
      <c r="AB348" s="277">
        <v>-1.4999999999999999E-2</v>
      </c>
      <c r="AC348" s="135"/>
      <c r="AD348" s="295"/>
      <c r="AE348" s="295"/>
      <c r="AF348" s="295"/>
      <c r="AG348" s="386"/>
      <c r="AH348" s="385"/>
      <c r="AI348" s="135"/>
      <c r="AJ348" s="135"/>
      <c r="AK348" s="295"/>
      <c r="AL348" s="295"/>
      <c r="AM348" s="295"/>
      <c r="AN348" s="386"/>
      <c r="AO348" s="268"/>
      <c r="AP348" s="135"/>
    </row>
    <row r="349" spans="2:42" s="267" customFormat="1" hidden="1" x14ac:dyDescent="0.2">
      <c r="C349" s="387"/>
      <c r="D349" s="387"/>
      <c r="E349" s="387"/>
      <c r="F349" s="387"/>
      <c r="G349" s="375"/>
      <c r="H349" s="313"/>
      <c r="I349" s="284"/>
      <c r="J349" s="284"/>
      <c r="K349" s="292" t="s">
        <v>77</v>
      </c>
      <c r="L349" s="286">
        <v>6.0000000000000001E-3</v>
      </c>
      <c r="M349" s="286">
        <v>0.01</v>
      </c>
      <c r="N349" s="286">
        <v>1.4500000000000001E-2</v>
      </c>
      <c r="O349" s="286">
        <v>1.7500000000000002E-2</v>
      </c>
      <c r="P349" s="286">
        <v>0.02</v>
      </c>
      <c r="Q349" s="286">
        <v>2.5499999999999998E-2</v>
      </c>
      <c r="R349" s="286">
        <v>0.03</v>
      </c>
      <c r="S349" s="286">
        <v>3.2500000000000001E-2</v>
      </c>
      <c r="T349" s="286"/>
      <c r="U349" s="286"/>
      <c r="V349" s="277">
        <v>-2.5000000000000001E-2</v>
      </c>
      <c r="W349" s="277">
        <v>-1.4999999999999999E-2</v>
      </c>
      <c r="X349" s="277">
        <v>0</v>
      </c>
      <c r="AA349" s="277">
        <v>-2.5000000000000001E-2</v>
      </c>
      <c r="AB349" s="277">
        <v>-1.4999999999999999E-2</v>
      </c>
      <c r="AC349" s="135"/>
      <c r="AD349" s="295"/>
      <c r="AE349" s="295"/>
      <c r="AF349" s="295"/>
      <c r="AG349" s="386"/>
      <c r="AH349" s="385"/>
      <c r="AI349" s="135"/>
      <c r="AJ349" s="135"/>
      <c r="AK349" s="283"/>
      <c r="AL349" s="295"/>
      <c r="AM349" s="295"/>
      <c r="AN349" s="386"/>
      <c r="AO349" s="268"/>
      <c r="AP349" s="135"/>
    </row>
    <row r="350" spans="2:42" s="267" customFormat="1" ht="13.5" hidden="1" customHeight="1" x14ac:dyDescent="0.2">
      <c r="C350" s="374" t="s">
        <v>65</v>
      </c>
      <c r="D350" s="374"/>
      <c r="E350" s="374"/>
      <c r="F350" s="374"/>
      <c r="G350" s="388">
        <f>G344+G348</f>
        <v>2200</v>
      </c>
      <c r="H350" s="340"/>
      <c r="I350" s="284"/>
      <c r="J350" s="284"/>
      <c r="K350" s="292" t="s">
        <v>78</v>
      </c>
      <c r="L350" s="286">
        <v>6.0000000000000001E-3</v>
      </c>
      <c r="M350" s="286">
        <v>1.0999999999999999E-2</v>
      </c>
      <c r="N350" s="286">
        <v>1.4999999999999999E-2</v>
      </c>
      <c r="O350" s="286">
        <v>1.7999999999999999E-2</v>
      </c>
      <c r="P350" s="286">
        <v>0.02</v>
      </c>
      <c r="Q350" s="286">
        <v>2.5999999999999999E-2</v>
      </c>
      <c r="R350" s="286">
        <v>0.03</v>
      </c>
      <c r="S350" s="286">
        <v>3.4000000000000002E-2</v>
      </c>
      <c r="V350" s="277">
        <f>IF(Y331&gt;6000,V349,IF(Y331&gt;3000,V348,IF(Y331&gt;499,V347,"Min $500")))</f>
        <v>-2.5000000000000001E-2</v>
      </c>
      <c r="W350" s="277">
        <f>IF(Y331&gt;6000,W349,IF(Y331&gt;3000,W348,IF(Y331&gt;499,W347,"Min $500")))</f>
        <v>-1.4999999999999999E-2</v>
      </c>
      <c r="X350" s="277">
        <f>IF(Y331&gt;6000,X349,IF(Y331&gt;3000,X348,IF(Y331&gt;499,X347,"Min $500")))</f>
        <v>0</v>
      </c>
      <c r="AA350" s="277">
        <f>IF(Y331&gt;12000,AA349,IF(Y331&gt;3000,AA348,IF(Y331&gt;499,AA347,"Min $500")))</f>
        <v>-2.5000000000000001E-2</v>
      </c>
      <c r="AB350" s="277">
        <f>IF(Y331&gt;6000,AB349,IF(Y331&gt;3000,AB348,IF(Y331&gt;499,AB347,"Min $500")))</f>
        <v>-1.4999999999999999E-2</v>
      </c>
      <c r="AC350" s="278"/>
      <c r="AD350" s="278"/>
      <c r="AE350" s="278"/>
      <c r="AF350" s="278"/>
      <c r="AG350" s="278"/>
      <c r="AH350" s="278"/>
      <c r="AI350" s="278"/>
      <c r="AJ350" s="278"/>
      <c r="AK350" s="278"/>
      <c r="AL350" s="278"/>
      <c r="AM350" s="278"/>
      <c r="AN350" s="278"/>
      <c r="AO350" s="278"/>
      <c r="AP350" s="278"/>
    </row>
    <row r="351" spans="2:42" s="267" customFormat="1" ht="13.5" hidden="1" customHeight="1" x14ac:dyDescent="0.2">
      <c r="C351" s="374"/>
      <c r="D351" s="374"/>
      <c r="E351" s="374"/>
      <c r="F351" s="374"/>
      <c r="G351" s="388"/>
      <c r="H351" s="308"/>
      <c r="I351" s="284"/>
      <c r="J351" s="284"/>
      <c r="K351" s="286">
        <f>IF(E333=1,L351,IF(E333=2,M351,IF(E333=3,N351,IF(E333=4,O351,IF(E333=5,P351,IF(E333=6,Q351,IF(E333=7,R351,IF(E333=8,S351))))))))</f>
        <v>2.5000000000000001E-2</v>
      </c>
      <c r="L351" s="286">
        <f>IF(N345&gt;6000,L350, IF(N345&gt;3000,L349, IF(N345&gt;499,L348, "Min $500")))</f>
        <v>5.0000000000000001E-3</v>
      </c>
      <c r="M351" s="286">
        <f>IF(N345&gt;6000,M350, IF(N345&gt;3000,M349, IF(N345&gt;499,M348, "Min $500")))</f>
        <v>0.01</v>
      </c>
      <c r="N351" s="286">
        <f>IF(N345&gt;6000,N350, IF(N345&gt;3000,N349, IF(N345&gt;499,N348, "Min $500")))</f>
        <v>1.4E-2</v>
      </c>
      <c r="O351" s="286">
        <f>IF(N345&gt;6000,O350, IF(N345&gt;3000,O349, IF(N345&gt;499,O348, "Min $500")))</f>
        <v>1.7000000000000001E-2</v>
      </c>
      <c r="P351" s="286">
        <f>IF(M345&gt;6000,P350, IF(M345&gt;3000,P349, IF(M345&gt;499,P348, "Min $500")))</f>
        <v>0.02</v>
      </c>
      <c r="Q351" s="286">
        <f>IF(N345&gt;6000,Q350, IF(N345&gt;3000,Q349, IF(N345&gt;499,Q348, "Min $500")))</f>
        <v>2.5000000000000001E-2</v>
      </c>
      <c r="R351" s="286">
        <f>IF(M345&gt;6000,R350, IF(M345&gt;3000,R349, IF(M345&gt;499,R348, "Min $500")))</f>
        <v>0.03</v>
      </c>
      <c r="S351" s="286">
        <f>IF(N345&gt;6000,S350, IF(N345&gt;3000,S349, IF(N345&gt;499,S348, "Min $500")))</f>
        <v>0.03</v>
      </c>
      <c r="AC351" s="384"/>
      <c r="AD351" s="384"/>
      <c r="AE351" s="384"/>
      <c r="AF351" s="384"/>
      <c r="AG351" s="384"/>
      <c r="AH351" s="384"/>
      <c r="AI351" s="384"/>
      <c r="AJ351" s="384"/>
      <c r="AK351" s="384"/>
      <c r="AL351" s="384"/>
      <c r="AM351" s="384"/>
      <c r="AN351" s="384"/>
      <c r="AO351" s="384"/>
      <c r="AP351" s="384"/>
    </row>
    <row r="352" spans="2:42" s="267" customFormat="1" ht="13.5" hidden="1" customHeight="1" x14ac:dyDescent="0.2">
      <c r="C352" s="283"/>
      <c r="D352" s="283"/>
      <c r="E352" s="283"/>
      <c r="F352" s="283"/>
      <c r="G352" s="283"/>
      <c r="H352" s="283"/>
      <c r="I352" s="283"/>
      <c r="J352" s="283"/>
      <c r="W352" s="381" t="s">
        <v>173</v>
      </c>
      <c r="X352" s="277" t="b">
        <f>IF(E333=7,W357,IF(E333=8,X357))</f>
        <v>0</v>
      </c>
      <c r="AA352" s="276" t="s">
        <v>87</v>
      </c>
      <c r="AB352" s="277" t="b">
        <f>IF(E333=8,AB357)</f>
        <v>0</v>
      </c>
      <c r="AC352" s="135"/>
      <c r="AD352" s="295"/>
      <c r="AE352" s="283"/>
      <c r="AF352" s="283"/>
      <c r="AG352" s="332"/>
      <c r="AH352" s="268"/>
      <c r="AI352" s="385"/>
      <c r="AJ352" s="135"/>
      <c r="AK352" s="295"/>
      <c r="AL352" s="295"/>
      <c r="AM352" s="295"/>
      <c r="AN352" s="365"/>
      <c r="AO352" s="268"/>
      <c r="AP352" s="135"/>
    </row>
    <row r="353" spans="3:42" s="267" customFormat="1" ht="13.5" hidden="1" customHeight="1" x14ac:dyDescent="0.2">
      <c r="C353" s="283"/>
      <c r="D353" s="283"/>
      <c r="E353" s="283"/>
      <c r="F353" s="283"/>
      <c r="G353" s="283"/>
      <c r="H353" s="283"/>
      <c r="I353" s="283"/>
      <c r="J353" s="283"/>
      <c r="K353" s="267" t="s">
        <v>100</v>
      </c>
      <c r="P353" s="389" t="s">
        <v>136</v>
      </c>
      <c r="Q353" s="389"/>
      <c r="R353" s="389"/>
      <c r="S353" s="389"/>
      <c r="W353" s="331" t="s">
        <v>153</v>
      </c>
      <c r="X353" s="331" t="s">
        <v>86</v>
      </c>
      <c r="AA353" s="331"/>
      <c r="AB353" s="331" t="s">
        <v>86</v>
      </c>
      <c r="AC353" s="135"/>
      <c r="AD353" s="295"/>
      <c r="AE353" s="295"/>
      <c r="AF353" s="295"/>
      <c r="AG353" s="390"/>
      <c r="AH353" s="268"/>
      <c r="AI353" s="135"/>
      <c r="AJ353" s="135"/>
      <c r="AK353" s="295"/>
      <c r="AL353" s="295"/>
      <c r="AM353" s="295"/>
      <c r="AN353" s="365"/>
      <c r="AO353" s="268"/>
      <c r="AP353" s="135"/>
    </row>
    <row r="354" spans="3:42" s="267" customFormat="1" ht="13.5" hidden="1" customHeight="1" x14ac:dyDescent="0.2">
      <c r="G354" s="303"/>
      <c r="H354" s="283"/>
      <c r="I354" s="283"/>
      <c r="J354" s="283"/>
      <c r="K354" s="271" t="s">
        <v>128</v>
      </c>
      <c r="N354" s="391">
        <v>1</v>
      </c>
      <c r="P354" s="392" t="s">
        <v>2</v>
      </c>
      <c r="Q354" s="392" t="s">
        <v>134</v>
      </c>
      <c r="R354" s="392" t="s">
        <v>135</v>
      </c>
      <c r="S354" s="392" t="s">
        <v>109</v>
      </c>
      <c r="T354" s="300"/>
      <c r="U354" s="300"/>
      <c r="W354" s="277">
        <v>-0.03</v>
      </c>
      <c r="X354" s="277">
        <v>-0.02</v>
      </c>
      <c r="Y354" s="393" t="s">
        <v>178</v>
      </c>
      <c r="AA354" s="277"/>
      <c r="AB354" s="277">
        <v>-2.5000000000000001E-2</v>
      </c>
      <c r="AC354" s="135"/>
      <c r="AD354" s="295"/>
      <c r="AE354" s="295"/>
      <c r="AF354" s="295"/>
      <c r="AG354" s="390"/>
      <c r="AH354" s="268"/>
      <c r="AI354" s="135"/>
      <c r="AJ354" s="135"/>
      <c r="AK354" s="295"/>
      <c r="AL354" s="295"/>
      <c r="AM354" s="295"/>
      <c r="AN354" s="365"/>
      <c r="AO354" s="268"/>
      <c r="AP354" s="135"/>
    </row>
    <row r="355" spans="3:42" s="267" customFormat="1" ht="12.75" hidden="1" customHeight="1" x14ac:dyDescent="0.2">
      <c r="G355" s="394"/>
      <c r="H355" s="283"/>
      <c r="I355" s="283"/>
      <c r="J355" s="283"/>
      <c r="K355" s="293" t="s">
        <v>127</v>
      </c>
      <c r="N355" s="391">
        <v>2</v>
      </c>
      <c r="P355" s="395" t="s">
        <v>70</v>
      </c>
      <c r="Q355" s="396">
        <v>3.5000000000000003E-2</v>
      </c>
      <c r="R355" s="396">
        <f>Q355+2.4%</f>
        <v>5.8999999999999997E-2</v>
      </c>
      <c r="S355" s="397">
        <f>R355+0.5%</f>
        <v>6.4000000000000001E-2</v>
      </c>
      <c r="T355" s="300"/>
      <c r="U355" s="300"/>
      <c r="W355" s="277">
        <v>-0.03</v>
      </c>
      <c r="X355" s="277">
        <v>-0.02</v>
      </c>
      <c r="Y355" s="393" t="s">
        <v>179</v>
      </c>
      <c r="AA355" s="277"/>
      <c r="AB355" s="277">
        <v>-3.5000000000000003E-2</v>
      </c>
      <c r="AC355" s="384"/>
      <c r="AD355" s="384"/>
      <c r="AE355" s="384"/>
      <c r="AF355" s="384"/>
      <c r="AG355" s="384"/>
      <c r="AH355" s="384"/>
      <c r="AI355" s="384"/>
      <c r="AJ355" s="285"/>
      <c r="AK355" s="285"/>
      <c r="AL355" s="285"/>
      <c r="AM355" s="285"/>
      <c r="AN355" s="285"/>
      <c r="AO355" s="285"/>
      <c r="AP355" s="285"/>
    </row>
    <row r="356" spans="3:42" s="267" customFormat="1" ht="12.75" hidden="1" customHeight="1" x14ac:dyDescent="0.2">
      <c r="G356" s="394"/>
      <c r="H356" s="283"/>
      <c r="I356" s="283"/>
      <c r="J356" s="283"/>
      <c r="K356" s="293" t="s">
        <v>126</v>
      </c>
      <c r="N356" s="391">
        <v>3</v>
      </c>
      <c r="P356" s="395" t="s">
        <v>71</v>
      </c>
      <c r="Q356" s="396">
        <v>7.2999999999999995E-2</v>
      </c>
      <c r="R356" s="396">
        <f t="shared" ref="R356:R359" si="1">Q356+2.4%</f>
        <v>9.7000000000000003E-2</v>
      </c>
      <c r="S356" s="397">
        <f t="shared" ref="S356:S359" si="2">R356+0.5%</f>
        <v>0.10199999999999999</v>
      </c>
      <c r="T356" s="300"/>
      <c r="U356" s="300"/>
      <c r="W356" s="277">
        <v>-4.4999999999999998E-2</v>
      </c>
      <c r="X356" s="277">
        <v>-0.02</v>
      </c>
      <c r="Y356" s="393" t="s">
        <v>180</v>
      </c>
      <c r="AA356" s="277"/>
      <c r="AB356" s="398">
        <v>-4.4999999999999998E-2</v>
      </c>
      <c r="AC356" s="135"/>
      <c r="AD356" s="283"/>
      <c r="AE356" s="295"/>
      <c r="AF356" s="295"/>
      <c r="AG356" s="386"/>
      <c r="AH356" s="268"/>
      <c r="AI356" s="135"/>
      <c r="AJ356" s="135"/>
      <c r="AK356" s="283"/>
      <c r="AL356" s="283"/>
      <c r="AM356" s="283"/>
      <c r="AN356" s="399"/>
      <c r="AO356" s="394"/>
      <c r="AP356" s="135"/>
    </row>
    <row r="357" spans="3:42" s="267" customFormat="1" ht="12.75" hidden="1" customHeight="1" x14ac:dyDescent="0.2">
      <c r="G357" s="394"/>
      <c r="H357" s="283"/>
      <c r="I357" s="283"/>
      <c r="J357" s="283"/>
      <c r="K357" s="293" t="s">
        <v>131</v>
      </c>
      <c r="N357" s="391">
        <v>4</v>
      </c>
      <c r="O357" s="400"/>
      <c r="P357" s="395" t="s">
        <v>72</v>
      </c>
      <c r="Q357" s="401">
        <v>9.0999999999999998E-2</v>
      </c>
      <c r="R357" s="396">
        <f t="shared" si="1"/>
        <v>0.115</v>
      </c>
      <c r="S357" s="397">
        <f t="shared" si="2"/>
        <v>0.12</v>
      </c>
      <c r="T357" s="300"/>
      <c r="U357" s="300"/>
      <c r="W357" s="277">
        <f>IF(Y331&gt;12000,W356,IF(Y331&gt;3000,W355,IF(Y331&gt;499,W354,"Min $500")))</f>
        <v>-0.03</v>
      </c>
      <c r="X357" s="277">
        <f>IF(Y331&gt;12000,X356, IF(Y331&gt;6000,X355, IF(Y331&gt;499,X354, "Min $500")))</f>
        <v>-0.02</v>
      </c>
      <c r="AA357" s="277"/>
      <c r="AB357" s="398">
        <f>IF(Y331&gt;12000,AB356, IF(Y331&gt;6000,AB355, IF(Y331&gt;499,AB354, "Min $500")))</f>
        <v>-2.5000000000000001E-2</v>
      </c>
      <c r="AC357" s="135"/>
      <c r="AD357" s="283"/>
      <c r="AE357" s="295"/>
      <c r="AF357" s="295"/>
      <c r="AG357" s="386"/>
      <c r="AH357" s="268"/>
      <c r="AI357" s="135"/>
      <c r="AJ357" s="135"/>
      <c r="AK357" s="295"/>
      <c r="AL357" s="283"/>
      <c r="AM357" s="283"/>
      <c r="AN357" s="294"/>
      <c r="AO357" s="268"/>
      <c r="AP357" s="135"/>
    </row>
    <row r="358" spans="3:42" s="267" customFormat="1" ht="13.5" hidden="1" customHeight="1" x14ac:dyDescent="0.2">
      <c r="G358" s="394"/>
      <c r="H358" s="283"/>
      <c r="I358" s="283"/>
      <c r="J358" s="283"/>
      <c r="K358" s="287" t="s">
        <v>132</v>
      </c>
      <c r="L358" s="287"/>
      <c r="M358" s="287"/>
      <c r="N358" s="402">
        <v>5</v>
      </c>
      <c r="P358" s="395" t="s">
        <v>73</v>
      </c>
      <c r="Q358" s="403">
        <v>0.13</v>
      </c>
      <c r="R358" s="396">
        <f t="shared" si="1"/>
        <v>0.154</v>
      </c>
      <c r="S358" s="397">
        <f t="shared" si="2"/>
        <v>0.159</v>
      </c>
      <c r="T358" s="300"/>
      <c r="U358" s="300"/>
      <c r="AC358" s="135"/>
      <c r="AD358" s="283"/>
      <c r="AE358" s="283"/>
      <c r="AF358" s="283"/>
      <c r="AG358" s="290"/>
      <c r="AH358" s="268"/>
      <c r="AI358" s="135"/>
      <c r="AJ358" s="135"/>
      <c r="AK358" s="283"/>
      <c r="AL358" s="283"/>
      <c r="AM358" s="283"/>
      <c r="AN358" s="399"/>
      <c r="AO358" s="394"/>
      <c r="AP358" s="135"/>
    </row>
    <row r="359" spans="3:42" s="267" customFormat="1" ht="13.5" hidden="1" customHeight="1" x14ac:dyDescent="0.2">
      <c r="G359" s="394"/>
      <c r="H359" s="283"/>
      <c r="I359" s="283"/>
      <c r="J359" s="283"/>
      <c r="K359" s="287" t="s">
        <v>125</v>
      </c>
      <c r="L359" s="287"/>
      <c r="M359" s="287"/>
      <c r="N359" s="391">
        <v>6</v>
      </c>
      <c r="P359" s="395" t="s">
        <v>74</v>
      </c>
      <c r="Q359" s="403">
        <v>0.18</v>
      </c>
      <c r="R359" s="396">
        <f t="shared" si="1"/>
        <v>0.20399999999999999</v>
      </c>
      <c r="S359" s="397">
        <f t="shared" si="2"/>
        <v>0.20899999999999999</v>
      </c>
      <c r="T359" s="300"/>
      <c r="U359" s="300"/>
      <c r="W359" s="277"/>
      <c r="X359" s="277"/>
      <c r="Y359" s="277"/>
      <c r="Z359" s="300"/>
      <c r="AC359" s="135"/>
      <c r="AD359" s="283"/>
      <c r="AE359" s="283"/>
      <c r="AF359" s="283"/>
      <c r="AG359" s="290"/>
      <c r="AH359" s="268"/>
      <c r="AI359" s="135"/>
      <c r="AJ359" s="135"/>
      <c r="AK359" s="283"/>
      <c r="AL359" s="283"/>
      <c r="AM359" s="283"/>
      <c r="AN359" s="399"/>
      <c r="AO359" s="394"/>
      <c r="AP359" s="135"/>
    </row>
    <row r="360" spans="3:42" s="267" customFormat="1" ht="13.5" hidden="1" customHeight="1" x14ac:dyDescent="0.2">
      <c r="G360" s="394"/>
      <c r="H360" s="283"/>
      <c r="I360" s="283"/>
      <c r="J360" s="283"/>
      <c r="K360" s="287" t="s">
        <v>124</v>
      </c>
      <c r="L360" s="287"/>
      <c r="M360" s="287"/>
      <c r="N360" s="391">
        <v>7</v>
      </c>
      <c r="P360" s="392" t="s">
        <v>108</v>
      </c>
      <c r="Q360" s="397">
        <f>IF(D333=1,Q355,IF(D333=2,Q356,IF(D333=3,Q357,IF(D333=4,Q358,IF(D333=5,Q359)))))</f>
        <v>3.5000000000000003E-2</v>
      </c>
      <c r="R360" s="397" t="b">
        <f>IF(E333=1,R355,IF(E333=2,R356,IF(E333=3,R357,IF(E333=4,R358,IF(E333=5,R359)))))</f>
        <v>0</v>
      </c>
      <c r="S360" s="397" t="b">
        <f>IF(E333=1,S355,IF(E333=2,S356,IF(E333=3,S357,IF(E333=4,S358,IF(E333=5,S359)))))</f>
        <v>0</v>
      </c>
      <c r="T360" s="300"/>
      <c r="U360" s="300"/>
      <c r="W360" s="277"/>
      <c r="X360" s="277"/>
      <c r="Y360" s="277"/>
      <c r="Z360" s="300"/>
      <c r="AC360" s="135"/>
      <c r="AD360" s="283"/>
      <c r="AE360" s="283"/>
      <c r="AF360" s="283"/>
      <c r="AG360" s="290"/>
      <c r="AH360" s="268"/>
      <c r="AI360" s="135"/>
      <c r="AJ360" s="135"/>
      <c r="AK360" s="283"/>
      <c r="AL360" s="283"/>
      <c r="AM360" s="283"/>
      <c r="AN360" s="399"/>
      <c r="AO360" s="394"/>
      <c r="AP360" s="135"/>
    </row>
    <row r="361" spans="3:42" s="267" customFormat="1" ht="13.5" hidden="1" customHeight="1" x14ac:dyDescent="0.2">
      <c r="G361" s="394"/>
      <c r="H361" s="283"/>
      <c r="I361" s="283"/>
      <c r="J361" s="283"/>
      <c r="K361" s="287" t="s">
        <v>123</v>
      </c>
      <c r="L361" s="287"/>
      <c r="M361" s="287"/>
      <c r="N361" s="391">
        <v>8</v>
      </c>
      <c r="S361" s="300"/>
      <c r="T361" s="300"/>
      <c r="U361" s="300"/>
      <c r="W361" s="277"/>
      <c r="X361" s="277"/>
      <c r="Y361" s="277"/>
      <c r="Z361" s="300"/>
      <c r="AC361" s="135"/>
      <c r="AD361" s="283"/>
      <c r="AE361" s="283"/>
      <c r="AF361" s="283"/>
      <c r="AG361" s="290"/>
      <c r="AH361" s="268"/>
      <c r="AI361" s="135"/>
      <c r="AJ361" s="135"/>
      <c r="AK361" s="283"/>
      <c r="AL361" s="283"/>
      <c r="AM361" s="283"/>
      <c r="AN361" s="399"/>
      <c r="AO361" s="394"/>
      <c r="AP361" s="135"/>
    </row>
    <row r="362" spans="3:42" s="267" customFormat="1" ht="13.5" hidden="1" customHeight="1" x14ac:dyDescent="0.2">
      <c r="G362" s="394"/>
      <c r="H362" s="283"/>
      <c r="I362" s="283"/>
      <c r="J362" s="283"/>
      <c r="K362" s="271" t="s">
        <v>122</v>
      </c>
      <c r="L362" s="135"/>
      <c r="M362" s="135"/>
      <c r="N362" s="402">
        <v>9</v>
      </c>
      <c r="S362" s="300"/>
      <c r="T362" s="300"/>
      <c r="U362" s="300"/>
      <c r="W362" s="277"/>
      <c r="X362" s="277"/>
      <c r="Y362" s="277"/>
      <c r="Z362" s="300"/>
      <c r="AC362" s="135"/>
      <c r="AD362" s="283"/>
      <c r="AE362" s="283"/>
      <c r="AF362" s="283"/>
      <c r="AG362" s="290"/>
      <c r="AH362" s="268"/>
      <c r="AI362" s="135"/>
      <c r="AJ362" s="135"/>
      <c r="AK362" s="283"/>
      <c r="AL362" s="283"/>
      <c r="AM362" s="283"/>
      <c r="AN362" s="399"/>
      <c r="AO362" s="394"/>
      <c r="AP362" s="135"/>
    </row>
    <row r="363" spans="3:42" s="267" customFormat="1" ht="13.5" hidden="1" customHeight="1" x14ac:dyDescent="0.2">
      <c r="G363" s="394"/>
      <c r="H363" s="283"/>
      <c r="I363" s="283"/>
      <c r="J363" s="283"/>
      <c r="K363" s="318">
        <v>4</v>
      </c>
      <c r="L363" s="404" t="s">
        <v>99</v>
      </c>
      <c r="M363" s="135"/>
      <c r="N363" s="135"/>
      <c r="S363" s="300"/>
      <c r="T363" s="300"/>
      <c r="U363" s="300"/>
      <c r="W363" s="277"/>
      <c r="X363" s="277"/>
      <c r="Y363" s="277"/>
      <c r="Z363" s="300"/>
      <c r="AC363" s="135"/>
      <c r="AD363" s="283"/>
      <c r="AE363" s="283"/>
      <c r="AF363" s="283"/>
      <c r="AG363" s="290"/>
      <c r="AH363" s="268"/>
      <c r="AI363" s="135"/>
      <c r="AJ363" s="135"/>
      <c r="AK363" s="283"/>
      <c r="AL363" s="283"/>
      <c r="AM363" s="283"/>
      <c r="AN363" s="399"/>
      <c r="AO363" s="394"/>
      <c r="AP363" s="135"/>
    </row>
    <row r="364" spans="3:42" s="267" customFormat="1" ht="13.5" hidden="1" customHeight="1" x14ac:dyDescent="0.2">
      <c r="G364" s="394"/>
      <c r="H364" s="283"/>
      <c r="I364" s="283"/>
      <c r="J364" s="283"/>
      <c r="N364" s="405"/>
      <c r="S364" s="300"/>
      <c r="T364" s="300"/>
      <c r="U364" s="300"/>
      <c r="W364" s="277"/>
      <c r="X364" s="277"/>
      <c r="Y364" s="277"/>
      <c r="Z364" s="300"/>
      <c r="AC364" s="135"/>
      <c r="AD364" s="283"/>
      <c r="AE364" s="283"/>
      <c r="AF364" s="283"/>
      <c r="AG364" s="290"/>
      <c r="AH364" s="268"/>
      <c r="AI364" s="135"/>
      <c r="AJ364" s="135"/>
      <c r="AK364" s="283"/>
      <c r="AL364" s="283"/>
      <c r="AM364" s="283"/>
      <c r="AN364" s="399"/>
      <c r="AO364" s="394"/>
      <c r="AP364" s="135"/>
    </row>
    <row r="365" spans="3:42" s="264" customFormat="1" ht="13.5" hidden="1" customHeight="1" x14ac:dyDescent="0.2">
      <c r="G365" s="406"/>
      <c r="H365" s="407"/>
      <c r="I365" s="407"/>
      <c r="J365" s="407"/>
      <c r="M365" s="266"/>
      <c r="N365" s="408"/>
      <c r="O365" s="263"/>
      <c r="Q365" s="263"/>
      <c r="R365" s="263"/>
      <c r="S365" s="409"/>
      <c r="T365" s="410"/>
      <c r="U365" s="410"/>
      <c r="W365" s="411"/>
      <c r="X365" s="411"/>
      <c r="Y365" s="411"/>
      <c r="Z365" s="412"/>
      <c r="AC365" s="413"/>
      <c r="AD365" s="414"/>
      <c r="AE365" s="414"/>
      <c r="AF365" s="414"/>
      <c r="AG365" s="415"/>
      <c r="AH365" s="416"/>
      <c r="AI365" s="413"/>
      <c r="AJ365" s="413"/>
      <c r="AK365" s="414"/>
      <c r="AL365" s="414"/>
      <c r="AM365" s="414"/>
      <c r="AN365" s="417"/>
      <c r="AO365" s="418"/>
      <c r="AP365" s="413"/>
    </row>
    <row r="366" spans="3:42" s="264" customFormat="1" ht="13.5" hidden="1" customHeight="1" x14ac:dyDescent="0.2">
      <c r="C366" s="407"/>
      <c r="D366" s="407"/>
      <c r="E366" s="407"/>
      <c r="F366" s="407"/>
      <c r="G366" s="407"/>
      <c r="H366" s="407"/>
      <c r="I366" s="407"/>
      <c r="J366" s="407"/>
      <c r="M366" s="266"/>
      <c r="N366" s="408"/>
      <c r="O366" s="263"/>
      <c r="Q366" s="263"/>
      <c r="R366" s="263"/>
      <c r="S366" s="409"/>
      <c r="T366" s="410"/>
      <c r="U366" s="410"/>
      <c r="W366" s="411"/>
      <c r="X366" s="411"/>
      <c r="Y366" s="411"/>
      <c r="Z366" s="412"/>
      <c r="AC366" s="413"/>
      <c r="AD366" s="414"/>
      <c r="AE366" s="414"/>
      <c r="AF366" s="414"/>
      <c r="AG366" s="415"/>
      <c r="AH366" s="416"/>
      <c r="AI366" s="413"/>
      <c r="AJ366" s="413"/>
      <c r="AK366" s="414"/>
      <c r="AL366" s="414"/>
      <c r="AM366" s="414"/>
      <c r="AN366" s="417"/>
      <c r="AO366" s="418"/>
      <c r="AP366" s="413"/>
    </row>
    <row r="367" spans="3:42" s="264" customFormat="1" ht="15" hidden="1" customHeight="1" x14ac:dyDescent="0.2">
      <c r="C367" s="407"/>
      <c r="D367" s="407"/>
      <c r="E367" s="407"/>
      <c r="F367" s="407"/>
      <c r="G367" s="407"/>
      <c r="H367" s="407"/>
      <c r="I367" s="407"/>
      <c r="J367" s="407"/>
      <c r="M367" s="266"/>
      <c r="N367" s="266"/>
      <c r="O367" s="263"/>
      <c r="Q367" s="263"/>
      <c r="R367" s="263"/>
      <c r="S367" s="414"/>
      <c r="T367" s="419"/>
      <c r="U367" s="419"/>
      <c r="V367" s="420"/>
      <c r="AC367" s="421"/>
      <c r="AD367" s="421"/>
      <c r="AE367" s="421"/>
      <c r="AF367" s="421"/>
      <c r="AG367" s="421"/>
      <c r="AH367" s="421"/>
      <c r="AI367" s="421"/>
      <c r="AJ367" s="421"/>
      <c r="AK367" s="421"/>
      <c r="AL367" s="421"/>
      <c r="AM367" s="421"/>
      <c r="AN367" s="421"/>
      <c r="AO367" s="421"/>
      <c r="AP367" s="421"/>
    </row>
    <row r="368" spans="3:42" s="264" customFormat="1" ht="12.75" hidden="1" customHeight="1" x14ac:dyDescent="0.2">
      <c r="C368" s="407"/>
      <c r="D368" s="407"/>
      <c r="E368" s="407"/>
      <c r="F368" s="407"/>
      <c r="G368" s="407"/>
      <c r="H368" s="407"/>
      <c r="I368" s="407"/>
      <c r="J368" s="407"/>
      <c r="M368" s="266"/>
      <c r="N368" s="266"/>
      <c r="O368" s="400"/>
      <c r="Q368" s="263"/>
      <c r="R368" s="263"/>
      <c r="S368" s="414"/>
      <c r="T368" s="419"/>
      <c r="U368" s="419"/>
      <c r="V368" s="420"/>
      <c r="AC368" s="413"/>
      <c r="AD368" s="414"/>
      <c r="AE368" s="422"/>
      <c r="AF368" s="422"/>
      <c r="AG368" s="423"/>
      <c r="AH368" s="424"/>
      <c r="AI368" s="413"/>
      <c r="AJ368" s="425"/>
      <c r="AK368" s="422"/>
      <c r="AL368" s="414"/>
      <c r="AM368" s="414"/>
      <c r="AN368" s="426"/>
      <c r="AO368" s="418"/>
      <c r="AP368" s="414"/>
    </row>
    <row r="369" spans="2:47" s="264" customFormat="1" ht="12.75" hidden="1" customHeight="1" x14ac:dyDescent="0.2">
      <c r="C369" s="407"/>
      <c r="D369" s="407"/>
      <c r="E369" s="407"/>
      <c r="F369" s="407"/>
      <c r="G369" s="407"/>
      <c r="H369" s="407"/>
      <c r="I369" s="407"/>
      <c r="J369" s="407"/>
      <c r="M369" s="266"/>
      <c r="N369" s="427"/>
      <c r="O369" s="428"/>
      <c r="Q369" s="263"/>
      <c r="R369" s="263"/>
      <c r="S369" s="414"/>
      <c r="T369" s="419"/>
      <c r="U369" s="419"/>
      <c r="AC369" s="413"/>
      <c r="AD369" s="422"/>
      <c r="AE369" s="422"/>
      <c r="AF369" s="422"/>
      <c r="AG369" s="423"/>
      <c r="AH369" s="416"/>
      <c r="AI369" s="413"/>
      <c r="AJ369" s="425"/>
      <c r="AK369" s="422"/>
      <c r="AL369" s="422"/>
      <c r="AM369" s="422"/>
      <c r="AN369" s="429"/>
      <c r="AO369" s="424"/>
      <c r="AP369" s="413"/>
    </row>
    <row r="370" spans="2:47" s="264" customFormat="1" ht="12.75" hidden="1" customHeight="1" x14ac:dyDescent="0.2">
      <c r="H370" s="263"/>
      <c r="O370" s="263"/>
      <c r="Q370" s="263"/>
      <c r="R370" s="263"/>
      <c r="S370" s="414"/>
      <c r="T370" s="419"/>
      <c r="U370" s="419"/>
      <c r="V370" s="407"/>
      <c r="Y370" s="407"/>
      <c r="Z370" s="407"/>
      <c r="AC370" s="413"/>
      <c r="AD370" s="414"/>
      <c r="AE370" s="422"/>
      <c r="AF370" s="422"/>
      <c r="AG370" s="423"/>
      <c r="AH370" s="424"/>
      <c r="AI370" s="422"/>
      <c r="AJ370" s="425"/>
      <c r="AK370" s="414"/>
      <c r="AL370" s="422"/>
      <c r="AM370" s="422"/>
      <c r="AN370" s="430"/>
      <c r="AO370" s="424"/>
      <c r="AP370" s="413"/>
    </row>
    <row r="371" spans="2:47" s="264" customFormat="1" ht="12.75" hidden="1" customHeight="1" x14ac:dyDescent="0.2">
      <c r="H371" s="263"/>
      <c r="Q371" s="263"/>
      <c r="R371" s="263"/>
      <c r="S371" s="414"/>
      <c r="T371" s="419"/>
      <c r="U371" s="419"/>
      <c r="V371" s="407"/>
      <c r="W371" s="407"/>
      <c r="X371" s="407"/>
      <c r="Y371" s="407"/>
      <c r="Z371" s="407"/>
      <c r="AA371" s="266"/>
      <c r="AB371" s="266"/>
      <c r="AC371" s="431"/>
      <c r="AD371" s="431"/>
      <c r="AE371" s="431"/>
      <c r="AF371" s="431"/>
      <c r="AG371" s="431"/>
      <c r="AH371" s="431"/>
      <c r="AI371" s="431"/>
      <c r="AJ371" s="431"/>
      <c r="AK371" s="431"/>
      <c r="AL371" s="431"/>
      <c r="AM371" s="431"/>
      <c r="AN371" s="431"/>
      <c r="AO371" s="431"/>
      <c r="AP371" s="431"/>
    </row>
    <row r="372" spans="2:47" s="264" customFormat="1" ht="13.5" hidden="1" customHeight="1" x14ac:dyDescent="0.2">
      <c r="H372" s="263"/>
      <c r="S372" s="419"/>
      <c r="T372" s="419"/>
      <c r="U372" s="419"/>
      <c r="V372" s="407"/>
      <c r="W372" s="407"/>
      <c r="X372" s="407"/>
      <c r="Y372" s="407"/>
      <c r="Z372" s="407"/>
      <c r="AA372" s="266"/>
      <c r="AB372" s="266"/>
      <c r="AC372" s="421"/>
      <c r="AD372" s="421"/>
      <c r="AE372" s="421"/>
      <c r="AF372" s="421"/>
      <c r="AG372" s="421"/>
      <c r="AH372" s="421"/>
      <c r="AI372" s="421"/>
      <c r="AJ372" s="421"/>
      <c r="AK372" s="421"/>
      <c r="AL372" s="421"/>
      <c r="AM372" s="421"/>
      <c r="AN372" s="421"/>
      <c r="AO372" s="421"/>
      <c r="AP372" s="421"/>
      <c r="AU372" s="264" t="s">
        <v>106</v>
      </c>
    </row>
    <row r="373" spans="2:47" s="264" customFormat="1" hidden="1" x14ac:dyDescent="0.2">
      <c r="H373" s="263"/>
      <c r="K373" s="407"/>
      <c r="L373" s="407"/>
      <c r="M373" s="407"/>
      <c r="N373" s="407"/>
      <c r="O373" s="407"/>
      <c r="P373" s="407"/>
      <c r="Q373" s="407"/>
      <c r="S373" s="419"/>
      <c r="T373" s="419"/>
      <c r="U373" s="419"/>
      <c r="V373" s="407"/>
      <c r="W373" s="407"/>
      <c r="X373" s="407"/>
      <c r="Y373" s="407"/>
      <c r="Z373" s="407"/>
      <c r="AA373" s="266"/>
      <c r="AB373" s="266"/>
      <c r="AC373" s="413"/>
      <c r="AD373" s="414"/>
      <c r="AE373" s="414"/>
      <c r="AF373" s="414"/>
      <c r="AG373" s="432"/>
      <c r="AH373" s="416"/>
      <c r="AI373" s="414"/>
      <c r="AJ373" s="413"/>
      <c r="AK373" s="422"/>
      <c r="AL373" s="422"/>
      <c r="AM373" s="422"/>
      <c r="AN373" s="429"/>
      <c r="AO373" s="416"/>
      <c r="AP373" s="413"/>
    </row>
    <row r="374" spans="2:47" s="262" customFormat="1" hidden="1" x14ac:dyDescent="0.2">
      <c r="H374" s="433"/>
      <c r="I374" s="433"/>
      <c r="J374" s="433"/>
      <c r="O374" s="407"/>
      <c r="P374" s="407"/>
      <c r="Q374" s="407"/>
      <c r="S374" s="419"/>
      <c r="T374" s="419"/>
      <c r="U374" s="419"/>
      <c r="V374" s="407"/>
      <c r="W374" s="407"/>
      <c r="X374" s="407"/>
      <c r="Y374" s="407"/>
      <c r="Z374" s="407"/>
      <c r="AA374" s="413"/>
      <c r="AB374" s="413"/>
      <c r="AC374" s="413"/>
      <c r="AD374" s="422"/>
      <c r="AE374" s="422"/>
      <c r="AF374" s="422"/>
      <c r="AG374" s="434"/>
      <c r="AH374" s="416"/>
      <c r="AI374" s="413"/>
      <c r="AJ374" s="413"/>
      <c r="AK374" s="422"/>
      <c r="AL374" s="422"/>
      <c r="AM374" s="422"/>
      <c r="AN374" s="429"/>
      <c r="AO374" s="416"/>
      <c r="AP374" s="413"/>
    </row>
    <row r="375" spans="2:47" s="262" customFormat="1" hidden="1" x14ac:dyDescent="0.2">
      <c r="B375" s="424"/>
      <c r="G375" s="424"/>
      <c r="H375" s="424"/>
      <c r="I375" s="424"/>
      <c r="J375" s="424"/>
      <c r="O375" s="435"/>
      <c r="P375" s="435"/>
      <c r="S375" s="436"/>
      <c r="T375" s="436"/>
      <c r="U375" s="436"/>
      <c r="V375" s="407"/>
      <c r="W375" s="407"/>
      <c r="X375" s="407"/>
      <c r="Y375" s="407"/>
      <c r="Z375" s="407"/>
      <c r="AA375" s="413"/>
      <c r="AB375" s="413"/>
      <c r="AC375" s="266"/>
      <c r="AD375" s="414"/>
      <c r="AE375" s="414"/>
      <c r="AF375" s="414"/>
      <c r="AG375" s="434"/>
      <c r="AH375" s="416"/>
      <c r="AI375" s="266"/>
      <c r="AJ375" s="413"/>
      <c r="AK375" s="422"/>
      <c r="AL375" s="422"/>
      <c r="AM375" s="422"/>
      <c r="AN375" s="429"/>
      <c r="AO375" s="416"/>
      <c r="AP375" s="413"/>
    </row>
    <row r="376" spans="2:47" s="262" customFormat="1" hidden="1" x14ac:dyDescent="0.2">
      <c r="B376" s="424"/>
      <c r="G376" s="424"/>
      <c r="H376" s="424"/>
      <c r="I376" s="424"/>
      <c r="J376" s="424"/>
      <c r="O376" s="435"/>
      <c r="P376" s="435"/>
      <c r="S376" s="436"/>
      <c r="T376" s="436"/>
      <c r="U376" s="436"/>
      <c r="V376" s="407"/>
      <c r="W376" s="407"/>
      <c r="X376" s="407"/>
      <c r="Y376" s="407"/>
      <c r="Z376" s="407"/>
      <c r="AA376" s="413"/>
      <c r="AB376" s="413"/>
      <c r="AC376" s="421"/>
      <c r="AD376" s="421"/>
      <c r="AE376" s="421"/>
      <c r="AF376" s="421"/>
      <c r="AG376" s="421"/>
      <c r="AH376" s="421"/>
      <c r="AI376" s="421"/>
      <c r="AJ376" s="437"/>
      <c r="AK376" s="437"/>
      <c r="AL376" s="437"/>
      <c r="AM376" s="437"/>
      <c r="AN376" s="437"/>
      <c r="AO376" s="437"/>
      <c r="AP376" s="437"/>
    </row>
    <row r="377" spans="2:47" s="262" customFormat="1" hidden="1" x14ac:dyDescent="0.2">
      <c r="B377" s="424"/>
      <c r="G377" s="424"/>
      <c r="H377" s="424"/>
      <c r="I377" s="424"/>
      <c r="J377" s="424"/>
      <c r="O377" s="435"/>
      <c r="P377" s="435"/>
      <c r="S377" s="436"/>
      <c r="T377" s="436"/>
      <c r="U377" s="436"/>
      <c r="V377" s="407"/>
      <c r="W377" s="407"/>
      <c r="X377" s="407"/>
      <c r="Y377" s="407"/>
      <c r="Z377" s="407"/>
      <c r="AA377" s="413"/>
      <c r="AB377" s="413"/>
      <c r="AC377" s="413"/>
      <c r="AD377" s="422"/>
      <c r="AE377" s="422"/>
      <c r="AF377" s="422"/>
      <c r="AG377" s="429"/>
      <c r="AH377" s="416"/>
      <c r="AI377" s="413"/>
      <c r="AJ377" s="413"/>
      <c r="AK377" s="422"/>
      <c r="AL377" s="422"/>
      <c r="AM377" s="422"/>
      <c r="AN377" s="423"/>
      <c r="AO377" s="418"/>
      <c r="AP377" s="413"/>
    </row>
    <row r="378" spans="2:47" s="266" customFormat="1" hidden="1" x14ac:dyDescent="0.2">
      <c r="B378" s="416"/>
      <c r="H378" s="416"/>
      <c r="I378" s="416"/>
      <c r="J378" s="416"/>
      <c r="O378" s="435"/>
      <c r="P378" s="435"/>
      <c r="Q378" s="407"/>
      <c r="R378" s="407"/>
      <c r="S378" s="407"/>
      <c r="T378" s="407"/>
      <c r="U378" s="407"/>
      <c r="V378" s="407"/>
      <c r="W378" s="407"/>
      <c r="X378" s="407"/>
      <c r="Y378" s="407"/>
      <c r="Z378" s="407"/>
      <c r="AC378" s="413"/>
      <c r="AD378" s="422"/>
      <c r="AE378" s="422"/>
      <c r="AF378" s="422"/>
      <c r="AG378" s="429"/>
      <c r="AH378" s="416"/>
      <c r="AI378" s="413"/>
      <c r="AJ378" s="413"/>
      <c r="AK378" s="422"/>
      <c r="AL378" s="422"/>
      <c r="AM378" s="422"/>
      <c r="AN378" s="429"/>
      <c r="AO378" s="416"/>
      <c r="AP378" s="413"/>
    </row>
    <row r="379" spans="2:47" s="266" customFormat="1" hidden="1" x14ac:dyDescent="0.2">
      <c r="B379" s="416"/>
      <c r="H379" s="416"/>
      <c r="I379" s="416"/>
      <c r="J379" s="416"/>
      <c r="O379" s="435"/>
      <c r="P379" s="435"/>
      <c r="Q379" s="407"/>
      <c r="R379" s="407"/>
      <c r="S379" s="407"/>
      <c r="T379" s="407"/>
      <c r="U379" s="407"/>
      <c r="V379" s="407"/>
      <c r="W379" s="407"/>
      <c r="X379" s="407"/>
      <c r="Y379" s="407"/>
      <c r="Z379" s="407"/>
      <c r="AC379" s="413"/>
      <c r="AD379" s="414"/>
      <c r="AE379" s="414"/>
      <c r="AF379" s="414"/>
      <c r="AG379" s="415"/>
      <c r="AH379" s="416"/>
      <c r="AI379" s="413"/>
      <c r="AJ379" s="413"/>
      <c r="AK379" s="422"/>
      <c r="AL379" s="422"/>
      <c r="AM379" s="422"/>
      <c r="AN379" s="423"/>
      <c r="AO379" s="418"/>
      <c r="AP379" s="413"/>
    </row>
    <row r="380" spans="2:47" s="413" customFormat="1" hidden="1" x14ac:dyDescent="0.2">
      <c r="B380" s="424"/>
      <c r="H380" s="424"/>
      <c r="I380" s="424"/>
      <c r="J380" s="424"/>
      <c r="O380" s="435"/>
      <c r="P380" s="435"/>
      <c r="Q380" s="407"/>
      <c r="R380" s="407"/>
      <c r="S380" s="407"/>
      <c r="T380" s="407"/>
      <c r="U380" s="407"/>
      <c r="V380" s="407"/>
      <c r="W380" s="407"/>
      <c r="X380" s="407"/>
      <c r="Y380" s="407"/>
      <c r="Z380" s="407"/>
      <c r="AC380" s="421"/>
      <c r="AD380" s="421"/>
      <c r="AE380" s="421"/>
      <c r="AF380" s="421"/>
      <c r="AG380" s="421"/>
      <c r="AH380" s="421"/>
      <c r="AI380" s="421"/>
      <c r="AJ380" s="421"/>
      <c r="AK380" s="421"/>
      <c r="AL380" s="421"/>
      <c r="AM380" s="421"/>
      <c r="AN380" s="421"/>
      <c r="AO380" s="421"/>
      <c r="AP380" s="421"/>
    </row>
    <row r="381" spans="2:47" s="413" customFormat="1" hidden="1" x14ac:dyDescent="0.2">
      <c r="B381" s="424"/>
      <c r="H381" s="424"/>
      <c r="I381" s="424"/>
      <c r="J381" s="424"/>
      <c r="O381" s="435"/>
      <c r="P381" s="435"/>
      <c r="Q381" s="407"/>
      <c r="R381" s="407"/>
      <c r="S381" s="407"/>
      <c r="T381" s="407"/>
      <c r="U381" s="407"/>
      <c r="V381" s="407"/>
      <c r="W381" s="407"/>
      <c r="X381" s="407"/>
      <c r="Y381" s="407"/>
      <c r="Z381" s="407"/>
      <c r="AD381" s="414"/>
      <c r="AE381" s="422"/>
      <c r="AF381" s="422"/>
      <c r="AG381" s="430"/>
      <c r="AH381" s="416"/>
      <c r="AJ381" s="425"/>
      <c r="AK381" s="422"/>
      <c r="AL381" s="414"/>
      <c r="AM381" s="414"/>
      <c r="AN381" s="426"/>
      <c r="AO381" s="418"/>
      <c r="AP381" s="414"/>
    </row>
    <row r="382" spans="2:47" s="413" customFormat="1" hidden="1" x14ac:dyDescent="0.2">
      <c r="B382" s="424"/>
      <c r="H382" s="424"/>
      <c r="I382" s="424"/>
      <c r="J382" s="424"/>
      <c r="K382" s="435"/>
      <c r="L382" s="435"/>
      <c r="M382" s="435"/>
      <c r="N382" s="435"/>
      <c r="O382" s="435"/>
      <c r="P382" s="435"/>
      <c r="Q382" s="407"/>
      <c r="R382" s="407"/>
      <c r="S382" s="407"/>
      <c r="T382" s="407"/>
      <c r="U382" s="407"/>
      <c r="V382" s="407"/>
      <c r="W382" s="407"/>
      <c r="X382" s="407"/>
      <c r="Y382" s="407"/>
      <c r="Z382" s="407"/>
      <c r="AD382" s="422"/>
      <c r="AE382" s="414"/>
      <c r="AF382" s="414"/>
      <c r="AG382" s="415"/>
      <c r="AH382" s="416"/>
      <c r="AJ382" s="425"/>
      <c r="AK382" s="422"/>
      <c r="AL382" s="422"/>
      <c r="AM382" s="422"/>
      <c r="AN382" s="429"/>
      <c r="AO382" s="424"/>
    </row>
    <row r="383" spans="2:47" s="413" customFormat="1" hidden="1" x14ac:dyDescent="0.2">
      <c r="B383" s="424"/>
      <c r="H383" s="424"/>
      <c r="I383" s="424"/>
      <c r="J383" s="424"/>
      <c r="K383" s="435"/>
      <c r="L383" s="435"/>
      <c r="M383" s="435"/>
      <c r="N383" s="435"/>
      <c r="O383" s="435"/>
      <c r="P383" s="435"/>
      <c r="Q383" s="407"/>
      <c r="R383" s="407"/>
      <c r="S383" s="407"/>
      <c r="T383" s="407"/>
      <c r="U383" s="407"/>
      <c r="V383" s="407"/>
      <c r="W383" s="407"/>
      <c r="X383" s="407"/>
      <c r="Y383" s="407"/>
      <c r="Z383" s="407"/>
      <c r="AC383" s="266"/>
      <c r="AD383" s="414"/>
      <c r="AE383" s="414"/>
      <c r="AF383" s="414"/>
      <c r="AG383" s="415"/>
      <c r="AH383" s="416"/>
      <c r="AI383" s="266"/>
      <c r="AJ383" s="266"/>
      <c r="AK383" s="422"/>
      <c r="AL383" s="414"/>
      <c r="AM383" s="414"/>
      <c r="AN383" s="438"/>
      <c r="AO383" s="424"/>
      <c r="AP383" s="266"/>
    </row>
    <row r="384" spans="2:47" s="413" customFormat="1" hidden="1" x14ac:dyDescent="0.2">
      <c r="B384" s="424"/>
      <c r="D384" s="439"/>
      <c r="E384" s="439"/>
      <c r="G384" s="424"/>
      <c r="H384" s="424"/>
      <c r="I384" s="424"/>
      <c r="J384" s="424"/>
      <c r="K384" s="407"/>
      <c r="L384" s="407"/>
      <c r="M384" s="407"/>
      <c r="N384" s="407"/>
      <c r="O384" s="407"/>
      <c r="P384" s="407"/>
      <c r="Q384" s="407"/>
      <c r="R384" s="407"/>
      <c r="S384" s="407"/>
      <c r="T384" s="407"/>
      <c r="U384" s="407"/>
      <c r="V384" s="407"/>
      <c r="W384" s="407"/>
      <c r="X384" s="407"/>
      <c r="Y384" s="407"/>
      <c r="Z384" s="407"/>
      <c r="AC384" s="431"/>
      <c r="AD384" s="431"/>
      <c r="AE384" s="431"/>
      <c r="AF384" s="431"/>
      <c r="AG384" s="431"/>
      <c r="AH384" s="431"/>
      <c r="AI384" s="431"/>
      <c r="AJ384" s="431"/>
      <c r="AK384" s="431"/>
      <c r="AL384" s="431"/>
      <c r="AM384" s="431"/>
      <c r="AN384" s="431"/>
      <c r="AO384" s="431"/>
      <c r="AP384" s="431"/>
    </row>
    <row r="385" spans="2:42" s="413" customFormat="1" hidden="1" x14ac:dyDescent="0.2">
      <c r="B385" s="424"/>
      <c r="D385" s="440"/>
      <c r="E385" s="264"/>
      <c r="G385" s="424"/>
      <c r="H385" s="424"/>
      <c r="I385" s="424"/>
      <c r="J385" s="424"/>
      <c r="K385" s="407"/>
      <c r="L385" s="407"/>
      <c r="M385" s="407"/>
      <c r="N385" s="407"/>
      <c r="O385" s="407"/>
      <c r="P385" s="407"/>
      <c r="Q385" s="407"/>
      <c r="R385" s="407"/>
      <c r="S385" s="407"/>
      <c r="T385" s="407"/>
      <c r="U385" s="407"/>
      <c r="V385" s="407"/>
      <c r="W385" s="407"/>
      <c r="X385" s="407"/>
      <c r="Y385" s="407"/>
      <c r="Z385" s="407"/>
      <c r="AC385" s="437"/>
      <c r="AD385" s="437"/>
      <c r="AE385" s="437"/>
      <c r="AF385" s="437"/>
      <c r="AG385" s="437"/>
      <c r="AH385" s="437"/>
      <c r="AI385" s="437"/>
      <c r="AJ385" s="421"/>
      <c r="AK385" s="421"/>
      <c r="AL385" s="421"/>
      <c r="AM385" s="421"/>
      <c r="AN385" s="421"/>
      <c r="AO385" s="421"/>
      <c r="AP385" s="421"/>
    </row>
    <row r="386" spans="2:42" s="413" customFormat="1" hidden="1" x14ac:dyDescent="0.2">
      <c r="B386" s="424"/>
      <c r="D386" s="440"/>
      <c r="E386" s="264"/>
      <c r="F386" s="424"/>
      <c r="G386" s="424"/>
      <c r="H386" s="424"/>
      <c r="I386" s="424"/>
      <c r="J386" s="424"/>
      <c r="K386" s="266"/>
      <c r="L386" s="414"/>
      <c r="M386" s="414"/>
      <c r="N386" s="414"/>
      <c r="O386" s="432"/>
      <c r="P386" s="416"/>
      <c r="Q386" s="416"/>
      <c r="R386" s="266"/>
      <c r="S386" s="414"/>
      <c r="T386" s="414"/>
      <c r="U386" s="414"/>
      <c r="V386" s="414"/>
      <c r="W386" s="414"/>
      <c r="X386" s="432"/>
      <c r="Y386" s="416"/>
      <c r="Z386" s="416"/>
      <c r="AC386" s="266"/>
      <c r="AD386" s="414"/>
      <c r="AE386" s="414"/>
      <c r="AF386" s="414"/>
      <c r="AG386" s="432"/>
      <c r="AH386" s="416"/>
      <c r="AI386" s="416"/>
      <c r="AK386" s="414"/>
      <c r="AL386" s="422"/>
      <c r="AM386" s="422"/>
      <c r="AN386" s="438"/>
      <c r="AO386" s="416"/>
    </row>
    <row r="387" spans="2:42" s="413" customFormat="1" hidden="1" x14ac:dyDescent="0.2">
      <c r="B387" s="424"/>
      <c r="D387" s="414"/>
      <c r="E387" s="264"/>
      <c r="F387" s="424"/>
      <c r="G387" s="424"/>
      <c r="H387" s="424"/>
      <c r="I387" s="424"/>
      <c r="J387" s="424"/>
      <c r="K387" s="266"/>
      <c r="L387" s="414"/>
      <c r="M387" s="414"/>
      <c r="N387" s="414"/>
      <c r="O387" s="434"/>
      <c r="P387" s="416"/>
      <c r="Q387" s="266"/>
      <c r="R387" s="266"/>
      <c r="S387" s="414"/>
      <c r="T387" s="414"/>
      <c r="U387" s="414"/>
      <c r="V387" s="414"/>
      <c r="W387" s="414"/>
      <c r="X387" s="434"/>
      <c r="Y387" s="416"/>
      <c r="Z387" s="266"/>
      <c r="AC387" s="266"/>
      <c r="AD387" s="414"/>
      <c r="AE387" s="414"/>
      <c r="AF387" s="414"/>
      <c r="AG387" s="434"/>
      <c r="AH387" s="416"/>
      <c r="AI387" s="266"/>
      <c r="AK387" s="414"/>
      <c r="AL387" s="414"/>
      <c r="AM387" s="414"/>
      <c r="AN387" s="441"/>
      <c r="AO387" s="416"/>
    </row>
    <row r="388" spans="2:42" s="413" customFormat="1" hidden="1" x14ac:dyDescent="0.2">
      <c r="B388" s="424"/>
      <c r="D388" s="442"/>
      <c r="E388" s="264"/>
      <c r="F388" s="424"/>
      <c r="G388" s="424"/>
      <c r="H388" s="424"/>
      <c r="I388" s="424"/>
      <c r="J388" s="424"/>
      <c r="K388" s="266"/>
      <c r="L388" s="414"/>
      <c r="M388" s="414"/>
      <c r="N388" s="414"/>
      <c r="O388" s="434"/>
      <c r="P388" s="416"/>
      <c r="Q388" s="266"/>
      <c r="R388" s="266"/>
      <c r="S388" s="414"/>
      <c r="T388" s="414"/>
      <c r="U388" s="414"/>
      <c r="V388" s="414"/>
      <c r="W388" s="414"/>
      <c r="X388" s="434"/>
      <c r="Y388" s="416"/>
      <c r="Z388" s="266"/>
      <c r="AC388" s="266"/>
      <c r="AD388" s="414"/>
      <c r="AE388" s="414"/>
      <c r="AF388" s="414"/>
      <c r="AG388" s="434"/>
      <c r="AH388" s="416"/>
      <c r="AI388" s="266"/>
      <c r="AJ388" s="266"/>
      <c r="AK388" s="414"/>
      <c r="AL388" s="414"/>
      <c r="AM388" s="414"/>
      <c r="AN388" s="438"/>
      <c r="AO388" s="416"/>
      <c r="AP388" s="266"/>
    </row>
    <row r="389" spans="2:42" s="413" customFormat="1" hidden="1" x14ac:dyDescent="0.2">
      <c r="B389" s="424"/>
      <c r="D389" s="442"/>
      <c r="E389" s="264"/>
      <c r="F389" s="424"/>
      <c r="G389" s="424"/>
      <c r="H389" s="424"/>
      <c r="I389" s="424"/>
      <c r="J389" s="424"/>
      <c r="K389" s="421"/>
      <c r="L389" s="421"/>
      <c r="M389" s="421"/>
      <c r="N389" s="421"/>
      <c r="O389" s="421"/>
      <c r="P389" s="421"/>
      <c r="Q389" s="421"/>
      <c r="R389" s="421"/>
      <c r="S389" s="421"/>
      <c r="T389" s="421"/>
      <c r="U389" s="421"/>
      <c r="V389" s="421"/>
      <c r="W389" s="421"/>
      <c r="X389" s="421"/>
      <c r="Y389" s="421"/>
      <c r="Z389" s="421"/>
      <c r="AC389" s="421"/>
      <c r="AD389" s="421"/>
      <c r="AE389" s="421"/>
      <c r="AF389" s="421"/>
      <c r="AG389" s="421"/>
      <c r="AH389" s="421"/>
      <c r="AI389" s="421"/>
      <c r="AJ389" s="421"/>
      <c r="AK389" s="421"/>
      <c r="AL389" s="421"/>
      <c r="AM389" s="421"/>
      <c r="AN389" s="421"/>
      <c r="AO389" s="421"/>
      <c r="AP389" s="421"/>
    </row>
    <row r="390" spans="2:42" s="413" customFormat="1" hidden="1" x14ac:dyDescent="0.2">
      <c r="B390" s="424"/>
      <c r="D390" s="442"/>
      <c r="E390" s="264"/>
      <c r="F390" s="424"/>
      <c r="G390" s="424"/>
      <c r="H390" s="424"/>
      <c r="I390" s="424"/>
      <c r="J390" s="424"/>
      <c r="L390" s="422"/>
      <c r="M390" s="422"/>
      <c r="N390" s="422"/>
      <c r="O390" s="430"/>
      <c r="P390" s="416"/>
      <c r="S390" s="414"/>
      <c r="T390" s="414"/>
      <c r="U390" s="414"/>
      <c r="V390" s="422"/>
      <c r="W390" s="422"/>
      <c r="X390" s="429"/>
      <c r="Y390" s="416"/>
      <c r="AD390" s="422"/>
      <c r="AE390" s="422"/>
      <c r="AF390" s="422"/>
      <c r="AG390" s="430"/>
      <c r="AH390" s="416"/>
      <c r="AK390" s="422"/>
      <c r="AL390" s="422"/>
      <c r="AM390" s="422"/>
      <c r="AN390" s="443"/>
      <c r="AO390" s="416"/>
    </row>
    <row r="391" spans="2:42" s="413" customFormat="1" hidden="1" x14ac:dyDescent="0.2">
      <c r="B391" s="424"/>
      <c r="D391" s="264"/>
      <c r="E391" s="264"/>
      <c r="F391" s="424"/>
      <c r="G391" s="424"/>
      <c r="H391" s="424"/>
      <c r="I391" s="424"/>
      <c r="J391" s="424"/>
      <c r="L391" s="414"/>
      <c r="M391" s="414"/>
      <c r="N391" s="414"/>
      <c r="O391" s="415"/>
      <c r="P391" s="416"/>
      <c r="R391" s="266"/>
      <c r="S391" s="414"/>
      <c r="T391" s="414"/>
      <c r="U391" s="414"/>
      <c r="V391" s="414"/>
      <c r="W391" s="414"/>
      <c r="X391" s="438"/>
      <c r="Y391" s="416"/>
      <c r="Z391" s="266"/>
      <c r="AD391" s="414"/>
      <c r="AE391" s="422"/>
      <c r="AF391" s="422"/>
      <c r="AG391" s="430"/>
      <c r="AH391" s="416"/>
      <c r="AJ391" s="266"/>
      <c r="AK391" s="414"/>
      <c r="AL391" s="414"/>
      <c r="AM391" s="414"/>
      <c r="AN391" s="444"/>
      <c r="AO391" s="416"/>
      <c r="AP391" s="266"/>
    </row>
    <row r="392" spans="2:42" s="413" customFormat="1" hidden="1" x14ac:dyDescent="0.2">
      <c r="B392" s="424"/>
      <c r="D392" s="264"/>
      <c r="E392" s="264"/>
      <c r="F392" s="424"/>
      <c r="G392" s="424"/>
      <c r="H392" s="424"/>
      <c r="I392" s="424"/>
      <c r="J392" s="424"/>
      <c r="L392" s="414"/>
      <c r="M392" s="414"/>
      <c r="N392" s="414"/>
      <c r="O392" s="415"/>
      <c r="P392" s="416"/>
      <c r="R392" s="266"/>
      <c r="S392" s="414"/>
      <c r="T392" s="414"/>
      <c r="U392" s="414"/>
      <c r="V392" s="414"/>
      <c r="W392" s="414"/>
      <c r="X392" s="415"/>
      <c r="Y392" s="416"/>
      <c r="Z392" s="266"/>
      <c r="AD392" s="414"/>
      <c r="AE392" s="414"/>
      <c r="AF392" s="414"/>
      <c r="AG392" s="415"/>
      <c r="AH392" s="416"/>
      <c r="AJ392" s="266"/>
      <c r="AK392" s="414"/>
      <c r="AL392" s="414"/>
      <c r="AM392" s="414"/>
      <c r="AN392" s="444"/>
      <c r="AO392" s="416"/>
      <c r="AP392" s="266"/>
    </row>
    <row r="393" spans="2:42" s="413" customFormat="1" hidden="1" x14ac:dyDescent="0.2">
      <c r="B393" s="424"/>
      <c r="D393" s="264"/>
      <c r="E393" s="264"/>
      <c r="F393" s="424"/>
      <c r="G393" s="424"/>
      <c r="H393" s="424"/>
      <c r="I393" s="424"/>
      <c r="J393" s="424"/>
      <c r="K393" s="421"/>
      <c r="L393" s="421"/>
      <c r="M393" s="421"/>
      <c r="N393" s="421"/>
      <c r="O393" s="421"/>
      <c r="P393" s="421"/>
      <c r="Q393" s="421"/>
      <c r="R393" s="421"/>
      <c r="S393" s="421"/>
      <c r="T393" s="421"/>
      <c r="U393" s="421"/>
      <c r="V393" s="421"/>
      <c r="W393" s="421"/>
      <c r="X393" s="421"/>
      <c r="Y393" s="421"/>
      <c r="Z393" s="421"/>
      <c r="AC393" s="421"/>
      <c r="AD393" s="421"/>
      <c r="AE393" s="421"/>
      <c r="AF393" s="421"/>
      <c r="AG393" s="421"/>
      <c r="AH393" s="421"/>
      <c r="AI393" s="421"/>
      <c r="AJ393" s="421"/>
      <c r="AK393" s="421"/>
      <c r="AL393" s="421"/>
      <c r="AM393" s="421"/>
      <c r="AN393" s="421"/>
      <c r="AO393" s="421"/>
      <c r="AP393" s="421"/>
    </row>
    <row r="394" spans="2:42" s="413" customFormat="1" hidden="1" x14ac:dyDescent="0.2">
      <c r="B394" s="424"/>
      <c r="D394" s="264"/>
      <c r="E394" s="264"/>
      <c r="F394" s="424"/>
      <c r="G394" s="424"/>
      <c r="H394" s="424"/>
      <c r="I394" s="424"/>
      <c r="J394" s="424"/>
      <c r="L394" s="422"/>
      <c r="M394" s="422"/>
      <c r="N394" s="422"/>
      <c r="O394" s="429"/>
      <c r="P394" s="424"/>
      <c r="R394" s="425"/>
      <c r="S394" s="422"/>
      <c r="T394" s="422"/>
      <c r="U394" s="422"/>
      <c r="V394" s="414"/>
      <c r="W394" s="414"/>
      <c r="X394" s="426"/>
      <c r="Y394" s="418"/>
      <c r="Z394" s="414"/>
      <c r="AD394" s="422"/>
      <c r="AE394" s="422"/>
      <c r="AF394" s="422"/>
      <c r="AG394" s="429"/>
      <c r="AH394" s="424"/>
      <c r="AK394" s="422"/>
      <c r="AL394" s="422"/>
      <c r="AM394" s="422"/>
      <c r="AN394" s="429"/>
      <c r="AO394" s="416"/>
    </row>
    <row r="395" spans="2:42" s="413" customFormat="1" hidden="1" x14ac:dyDescent="0.2">
      <c r="B395" s="424"/>
      <c r="D395" s="264"/>
      <c r="E395" s="264"/>
      <c r="F395" s="424"/>
      <c r="G395" s="424"/>
      <c r="H395" s="424"/>
      <c r="I395" s="424"/>
      <c r="J395" s="424"/>
      <c r="L395" s="414"/>
      <c r="M395" s="414"/>
      <c r="N395" s="414"/>
      <c r="O395" s="438"/>
      <c r="P395" s="416"/>
      <c r="R395" s="425"/>
      <c r="S395" s="422"/>
      <c r="T395" s="422"/>
      <c r="U395" s="422"/>
      <c r="V395" s="422"/>
      <c r="W395" s="422"/>
      <c r="X395" s="429"/>
      <c r="Y395" s="424"/>
      <c r="AD395" s="414"/>
      <c r="AE395" s="414"/>
      <c r="AF395" s="414"/>
      <c r="AG395" s="441"/>
      <c r="AH395" s="416"/>
      <c r="AK395" s="422"/>
      <c r="AL395" s="422"/>
      <c r="AM395" s="422"/>
      <c r="AN395" s="443"/>
      <c r="AO395" s="416"/>
    </row>
    <row r="396" spans="2:42" s="413" customFormat="1" hidden="1" x14ac:dyDescent="0.2">
      <c r="B396" s="424"/>
      <c r="C396" s="424"/>
      <c r="D396" s="424"/>
      <c r="E396" s="424"/>
      <c r="F396" s="424"/>
      <c r="G396" s="424"/>
      <c r="H396" s="424"/>
      <c r="I396" s="424"/>
      <c r="J396" s="424"/>
      <c r="K396" s="266"/>
      <c r="L396" s="414"/>
      <c r="M396" s="414"/>
      <c r="N396" s="414"/>
      <c r="O396" s="438"/>
      <c r="P396" s="416"/>
      <c r="Q396" s="266"/>
      <c r="R396" s="266"/>
      <c r="S396" s="414"/>
      <c r="T396" s="414"/>
      <c r="U396" s="414"/>
      <c r="V396" s="414"/>
      <c r="W396" s="414"/>
      <c r="X396" s="445"/>
      <c r="Y396" s="416"/>
      <c r="Z396" s="266"/>
      <c r="AC396" s="266"/>
      <c r="AD396" s="414"/>
      <c r="AE396" s="414"/>
      <c r="AF396" s="414"/>
      <c r="AG396" s="415"/>
      <c r="AH396" s="416"/>
      <c r="AI396" s="266"/>
      <c r="AJ396" s="266"/>
      <c r="AK396" s="414"/>
      <c r="AL396" s="414"/>
      <c r="AM396" s="414"/>
      <c r="AN396" s="444"/>
      <c r="AO396" s="416"/>
      <c r="AP396" s="266"/>
    </row>
    <row r="397" spans="2:42" s="413" customFormat="1" hidden="1" x14ac:dyDescent="0.2">
      <c r="B397" s="424"/>
      <c r="C397" s="446">
        <f>0.0157*10</f>
        <v>0.157</v>
      </c>
      <c r="D397" s="262"/>
      <c r="E397" s="262"/>
      <c r="F397" s="262"/>
      <c r="G397" s="424"/>
      <c r="H397" s="424"/>
      <c r="I397" s="424"/>
      <c r="J397" s="424"/>
      <c r="K397" s="431"/>
      <c r="L397" s="431"/>
      <c r="M397" s="431"/>
      <c r="N397" s="431"/>
      <c r="O397" s="431"/>
      <c r="P397" s="431"/>
      <c r="Q397" s="431"/>
      <c r="R397" s="431"/>
      <c r="S397" s="431"/>
      <c r="T397" s="431"/>
      <c r="U397" s="431"/>
      <c r="V397" s="431"/>
      <c r="W397" s="431"/>
      <c r="X397" s="431"/>
      <c r="Y397" s="431"/>
      <c r="Z397" s="431"/>
    </row>
    <row r="398" spans="2:42" s="413" customFormat="1" ht="13.5" hidden="1" customHeight="1" x14ac:dyDescent="0.2">
      <c r="B398" s="424"/>
      <c r="C398" s="447" t="s">
        <v>107</v>
      </c>
      <c r="D398" s="447"/>
      <c r="E398" s="447"/>
      <c r="F398" s="447"/>
      <c r="G398" s="424"/>
      <c r="H398" s="424"/>
      <c r="I398" s="424"/>
      <c r="J398" s="424"/>
      <c r="K398" s="437"/>
      <c r="L398" s="437"/>
      <c r="M398" s="437"/>
      <c r="N398" s="437"/>
      <c r="O398" s="437"/>
      <c r="P398" s="437"/>
      <c r="Q398" s="437"/>
      <c r="R398" s="421"/>
      <c r="S398" s="421"/>
      <c r="T398" s="421"/>
      <c r="U398" s="421"/>
      <c r="V398" s="421"/>
      <c r="W398" s="421"/>
      <c r="X398" s="421"/>
      <c r="Y398" s="421"/>
      <c r="Z398" s="421"/>
    </row>
    <row r="399" spans="2:42" s="413" customFormat="1" ht="13.5" hidden="1" customHeight="1" x14ac:dyDescent="0.2">
      <c r="B399" s="424"/>
      <c r="C399" s="424"/>
      <c r="D399" s="424"/>
      <c r="E399" s="424"/>
      <c r="F399" s="424"/>
      <c r="G399" s="424"/>
      <c r="H399" s="424"/>
      <c r="I399" s="424"/>
      <c r="J399" s="424"/>
      <c r="K399" s="266"/>
      <c r="L399" s="414"/>
      <c r="M399" s="414"/>
      <c r="N399" s="414"/>
      <c r="O399" s="432"/>
      <c r="P399" s="416"/>
      <c r="Q399" s="416"/>
      <c r="S399" s="422"/>
      <c r="T399" s="422"/>
      <c r="U399" s="422"/>
      <c r="V399" s="422"/>
      <c r="W399" s="422"/>
      <c r="X399" s="429"/>
      <c r="Y399" s="416"/>
    </row>
    <row r="400" spans="2:42" s="413" customFormat="1" ht="13.5" hidden="1" customHeight="1" x14ac:dyDescent="0.2">
      <c r="B400" s="424"/>
      <c r="C400" s="424"/>
      <c r="D400" s="424"/>
      <c r="E400" s="424"/>
      <c r="F400" s="424"/>
      <c r="G400" s="424"/>
      <c r="H400" s="424"/>
      <c r="I400" s="424"/>
      <c r="J400" s="424"/>
      <c r="K400" s="266"/>
      <c r="L400" s="414"/>
      <c r="M400" s="414"/>
      <c r="N400" s="414"/>
      <c r="O400" s="434"/>
      <c r="P400" s="416"/>
      <c r="Q400" s="266"/>
      <c r="R400" s="266"/>
      <c r="S400" s="422"/>
      <c r="T400" s="422"/>
      <c r="U400" s="422"/>
      <c r="V400" s="414"/>
      <c r="W400" s="414"/>
      <c r="X400" s="438"/>
      <c r="Y400" s="416"/>
      <c r="Z400" s="266"/>
    </row>
    <row r="401" spans="2:43" s="173" customFormat="1" ht="13.5" customHeight="1" x14ac:dyDescent="0.2">
      <c r="B401" s="169"/>
      <c r="C401" s="169"/>
      <c r="D401" s="169"/>
      <c r="E401" s="169"/>
      <c r="F401" s="169"/>
      <c r="G401" s="169"/>
      <c r="H401" s="169"/>
      <c r="I401" s="169"/>
      <c r="J401" s="169"/>
      <c r="K401" s="13"/>
      <c r="L401" s="153"/>
      <c r="M401" s="153"/>
      <c r="N401" s="153"/>
      <c r="O401" s="168"/>
      <c r="P401" s="160"/>
      <c r="Q401" s="13"/>
      <c r="R401" s="13"/>
      <c r="S401" s="153"/>
      <c r="T401" s="153"/>
      <c r="U401" s="153"/>
      <c r="V401" s="153"/>
      <c r="W401" s="153"/>
      <c r="X401" s="159"/>
      <c r="Y401" s="160"/>
      <c r="Z401" s="13"/>
    </row>
    <row r="402" spans="2:43" s="120" customFormat="1" ht="13.5" customHeight="1" x14ac:dyDescent="0.2">
      <c r="B402" s="123"/>
      <c r="C402" s="123"/>
      <c r="D402" s="123"/>
      <c r="E402" s="123"/>
      <c r="F402" s="123"/>
      <c r="G402" s="123"/>
      <c r="H402" s="123"/>
      <c r="I402" s="123"/>
      <c r="J402" s="123"/>
      <c r="K402" s="254"/>
      <c r="L402" s="254"/>
      <c r="M402" s="254"/>
      <c r="N402" s="254"/>
      <c r="O402" s="254"/>
      <c r="P402" s="254"/>
      <c r="Q402" s="254"/>
      <c r="R402" s="254"/>
      <c r="S402" s="254"/>
      <c r="T402" s="254"/>
      <c r="U402" s="254"/>
      <c r="V402" s="254"/>
      <c r="W402" s="254"/>
      <c r="X402" s="254"/>
      <c r="Y402" s="254"/>
      <c r="Z402" s="254"/>
    </row>
    <row r="403" spans="2:43" s="120" customFormat="1" ht="13.5" customHeight="1" x14ac:dyDescent="0.2">
      <c r="B403" s="123"/>
      <c r="C403" s="123"/>
      <c r="D403" s="123"/>
      <c r="E403" s="123"/>
      <c r="F403" s="123"/>
      <c r="G403" s="123"/>
      <c r="H403" s="123"/>
      <c r="I403" s="123"/>
      <c r="J403" s="123"/>
      <c r="L403" s="161"/>
      <c r="M403" s="161"/>
      <c r="N403" s="161"/>
      <c r="O403" s="170"/>
      <c r="P403" s="160"/>
      <c r="S403" s="153"/>
      <c r="T403" s="153"/>
      <c r="U403" s="153"/>
      <c r="V403" s="161"/>
      <c r="W403" s="161"/>
      <c r="X403" s="165"/>
      <c r="Y403" s="160"/>
    </row>
    <row r="404" spans="2:43" s="120" customFormat="1" ht="13.5" customHeight="1" x14ac:dyDescent="0.2">
      <c r="B404" s="123"/>
      <c r="C404" s="123"/>
      <c r="D404" s="123"/>
      <c r="E404" s="123"/>
      <c r="F404" s="123"/>
      <c r="G404" s="123"/>
      <c r="H404" s="123"/>
      <c r="I404" s="123"/>
      <c r="J404" s="123"/>
      <c r="L404" s="153"/>
      <c r="M404" s="166"/>
      <c r="N404" s="166"/>
      <c r="O404" s="171"/>
      <c r="P404" s="160"/>
      <c r="R404" s="122"/>
      <c r="S404" s="153"/>
      <c r="T404" s="153"/>
      <c r="U404" s="153"/>
      <c r="V404" s="183"/>
      <c r="W404" s="183"/>
      <c r="X404" s="162"/>
      <c r="Y404" s="160"/>
      <c r="Z404" s="122"/>
    </row>
    <row r="405" spans="2:43" s="120" customFormat="1" ht="13.5" customHeight="1" x14ac:dyDescent="0.2">
      <c r="B405" s="123"/>
      <c r="C405" s="123"/>
      <c r="D405" s="123"/>
      <c r="E405" s="123"/>
      <c r="F405" s="123"/>
      <c r="G405" s="123"/>
      <c r="H405" s="123"/>
      <c r="I405" s="123"/>
      <c r="J405" s="123"/>
      <c r="L405" s="153"/>
      <c r="M405" s="183"/>
      <c r="N405" s="183"/>
      <c r="O405" s="163"/>
      <c r="P405" s="160"/>
      <c r="S405" s="153"/>
      <c r="T405" s="153"/>
      <c r="U405" s="153"/>
      <c r="V405" s="183"/>
      <c r="W405" s="183"/>
      <c r="X405" s="164"/>
      <c r="Y405" s="160"/>
    </row>
    <row r="406" spans="2:43" s="120" customFormat="1" ht="12.75" customHeight="1" x14ac:dyDescent="0.2">
      <c r="B406" s="123"/>
      <c r="C406" s="123"/>
      <c r="D406" s="123"/>
      <c r="E406" s="123"/>
      <c r="F406" s="123"/>
      <c r="G406" s="123"/>
      <c r="H406" s="123"/>
      <c r="I406" s="123"/>
      <c r="J406" s="123"/>
      <c r="K406" s="254"/>
      <c r="L406" s="254"/>
      <c r="M406" s="254"/>
      <c r="N406" s="254"/>
      <c r="O406" s="254"/>
      <c r="P406" s="254"/>
      <c r="Q406" s="254"/>
      <c r="R406" s="254"/>
      <c r="S406" s="254"/>
      <c r="T406" s="254"/>
      <c r="U406" s="254"/>
      <c r="V406" s="254"/>
      <c r="W406" s="254"/>
      <c r="X406" s="254"/>
      <c r="Y406" s="254"/>
      <c r="Z406" s="254"/>
    </row>
    <row r="407" spans="2:43" s="120" customFormat="1" ht="12.75" customHeight="1" x14ac:dyDescent="0.2">
      <c r="B407" s="123"/>
      <c r="C407" s="123"/>
      <c r="D407" s="123"/>
      <c r="E407" s="123"/>
      <c r="F407" s="123"/>
      <c r="G407" s="123"/>
      <c r="H407" s="123"/>
      <c r="I407" s="123"/>
      <c r="J407" s="123"/>
      <c r="L407" s="161"/>
      <c r="M407" s="161"/>
      <c r="N407" s="161"/>
      <c r="O407" s="165"/>
      <c r="P407" s="169"/>
      <c r="S407" s="161"/>
      <c r="T407" s="161"/>
      <c r="U407" s="161"/>
      <c r="V407" s="161"/>
      <c r="W407" s="161"/>
      <c r="X407" s="165"/>
      <c r="Y407" s="160"/>
    </row>
    <row r="408" spans="2:43" s="120" customFormat="1" ht="12.75" customHeight="1" x14ac:dyDescent="0.2">
      <c r="B408" s="123"/>
      <c r="C408" s="123"/>
      <c r="D408" s="123"/>
      <c r="E408" s="123"/>
      <c r="F408" s="123"/>
      <c r="G408" s="123"/>
      <c r="H408" s="123"/>
      <c r="I408" s="123"/>
      <c r="J408" s="123"/>
      <c r="L408" s="153"/>
      <c r="M408" s="183"/>
      <c r="N408" s="183"/>
      <c r="O408" s="172"/>
      <c r="P408" s="160"/>
      <c r="S408" s="161"/>
      <c r="T408" s="161"/>
      <c r="U408" s="161"/>
      <c r="V408" s="166"/>
      <c r="W408" s="166"/>
      <c r="X408" s="167"/>
      <c r="Y408" s="160"/>
    </row>
    <row r="409" spans="2:43" s="120" customFormat="1" ht="12.75" customHeight="1" x14ac:dyDescent="0.2">
      <c r="B409" s="123"/>
      <c r="C409" s="123"/>
      <c r="D409" s="123"/>
      <c r="E409" s="123"/>
      <c r="F409" s="123"/>
      <c r="G409" s="123"/>
      <c r="H409" s="123"/>
      <c r="I409" s="123"/>
      <c r="J409" s="123"/>
      <c r="K409" s="122"/>
      <c r="L409" s="153"/>
      <c r="M409" s="183"/>
      <c r="N409" s="183"/>
      <c r="O409" s="163"/>
      <c r="P409" s="160"/>
      <c r="Q409" s="122"/>
      <c r="R409" s="122"/>
      <c r="S409" s="153"/>
      <c r="T409" s="153"/>
      <c r="U409" s="153"/>
      <c r="V409" s="183"/>
      <c r="W409" s="183"/>
      <c r="X409" s="162"/>
      <c r="Y409" s="160"/>
      <c r="Z409" s="122"/>
    </row>
    <row r="410" spans="2:43" s="120" customFormat="1" ht="12.75" customHeight="1" x14ac:dyDescent="0.2"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</row>
    <row r="411" spans="2:43" s="120" customFormat="1" ht="12.75" customHeight="1" x14ac:dyDescent="0.2"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</row>
    <row r="412" spans="2:43" s="120" customFormat="1" ht="13.5" customHeight="1" x14ac:dyDescent="0.2"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</row>
    <row r="413" spans="2:43" ht="12.75" customHeight="1" x14ac:dyDescent="0.2"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19"/>
    </row>
    <row r="414" spans="2:43" ht="12.75" customHeight="1" x14ac:dyDescent="0.2"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</row>
    <row r="415" spans="2:43" ht="12.75" customHeight="1" x14ac:dyDescent="0.2"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</row>
    <row r="416" spans="2:43" ht="13.5" customHeight="1" x14ac:dyDescent="0.2"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</row>
    <row r="417" spans="2:42" x14ac:dyDescent="0.2"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</row>
    <row r="418" spans="2:42" x14ac:dyDescent="0.2"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</row>
    <row r="419" spans="2:42" x14ac:dyDescent="0.2"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</row>
    <row r="420" spans="2:42" x14ac:dyDescent="0.2"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</row>
  </sheetData>
  <sheetProtection algorithmName="SHA-512" hashValue="uxTv4NQb8cTbD/lx2wetzdHeYT/DWjYvfOoSbqQ+p/PohJHGtqm8YU56pjJnpvm+yiN0c1CbQJYzMeP49X/MGQ==" saltValue="j7ohwYgBB8GnHmTtnJLlrg==" spinCount="100000" sheet="1" objects="1" scenarios="1"/>
  <mergeCells count="159">
    <mergeCell ref="K406:Q406"/>
    <mergeCell ref="R406:Z406"/>
    <mergeCell ref="K397:Z397"/>
    <mergeCell ref="C398:F398"/>
    <mergeCell ref="K398:Q398"/>
    <mergeCell ref="R398:Z398"/>
    <mergeCell ref="K402:Q402"/>
    <mergeCell ref="R402:Z402"/>
    <mergeCell ref="K389:Q389"/>
    <mergeCell ref="R389:Z389"/>
    <mergeCell ref="AC389:AI389"/>
    <mergeCell ref="AJ389:AP389"/>
    <mergeCell ref="K393:Q393"/>
    <mergeCell ref="R393:Z393"/>
    <mergeCell ref="AC393:AI393"/>
    <mergeCell ref="AJ393:AP393"/>
    <mergeCell ref="AC376:AI376"/>
    <mergeCell ref="AJ376:AP376"/>
    <mergeCell ref="AC380:AI380"/>
    <mergeCell ref="AJ380:AP380"/>
    <mergeCell ref="AC384:AP384"/>
    <mergeCell ref="AC385:AI385"/>
    <mergeCell ref="AJ385:AP385"/>
    <mergeCell ref="AC355:AI355"/>
    <mergeCell ref="AJ355:AP355"/>
    <mergeCell ref="AC367:AI367"/>
    <mergeCell ref="AJ367:AP367"/>
    <mergeCell ref="AC371:AP371"/>
    <mergeCell ref="AC372:AI372"/>
    <mergeCell ref="AJ372:AP372"/>
    <mergeCell ref="C350:F351"/>
    <mergeCell ref="G350:G351"/>
    <mergeCell ref="AC350:AP350"/>
    <mergeCell ref="AC351:AI351"/>
    <mergeCell ref="AJ351:AP351"/>
    <mergeCell ref="P353:S353"/>
    <mergeCell ref="R345:S346"/>
    <mergeCell ref="V345:W345"/>
    <mergeCell ref="C346:F347"/>
    <mergeCell ref="G346:G347"/>
    <mergeCell ref="AJ346:AP346"/>
    <mergeCell ref="C348:F349"/>
    <mergeCell ref="G348:G349"/>
    <mergeCell ref="C344:F345"/>
    <mergeCell ref="G344:G345"/>
    <mergeCell ref="K345:L346"/>
    <mergeCell ref="M345:M346"/>
    <mergeCell ref="N345:O346"/>
    <mergeCell ref="P345:Q346"/>
    <mergeCell ref="O342:O343"/>
    <mergeCell ref="P342:P343"/>
    <mergeCell ref="Q342:Q343"/>
    <mergeCell ref="R342:R343"/>
    <mergeCell ref="S342:S343"/>
    <mergeCell ref="C343:G343"/>
    <mergeCell ref="C341:F342"/>
    <mergeCell ref="G341:G342"/>
    <mergeCell ref="K342:K343"/>
    <mergeCell ref="L342:L343"/>
    <mergeCell ref="M342:M343"/>
    <mergeCell ref="N342:N343"/>
    <mergeCell ref="C339:F340"/>
    <mergeCell ref="G339:G340"/>
    <mergeCell ref="K339:M340"/>
    <mergeCell ref="P339:Q339"/>
    <mergeCell ref="R339:S339"/>
    <mergeCell ref="P340:Q340"/>
    <mergeCell ref="R340:S340"/>
    <mergeCell ref="R336:R337"/>
    <mergeCell ref="S336:S337"/>
    <mergeCell ref="C337:F338"/>
    <mergeCell ref="G337:G338"/>
    <mergeCell ref="V338:X338"/>
    <mergeCell ref="Z338:AB338"/>
    <mergeCell ref="K336:K337"/>
    <mergeCell ref="L336:L337"/>
    <mergeCell ref="M336:M337"/>
    <mergeCell ref="N336:N337"/>
    <mergeCell ref="O336:O337"/>
    <mergeCell ref="Q336:Q337"/>
    <mergeCell ref="K333:M334"/>
    <mergeCell ref="P333:Q333"/>
    <mergeCell ref="R333:S333"/>
    <mergeCell ref="AJ333:AP333"/>
    <mergeCell ref="P334:Q334"/>
    <mergeCell ref="R334:S334"/>
    <mergeCell ref="K323:L323"/>
    <mergeCell ref="K324:L324"/>
    <mergeCell ref="W324:Y324"/>
    <mergeCell ref="V331:W331"/>
    <mergeCell ref="K332:M332"/>
    <mergeCell ref="O332:Q332"/>
    <mergeCell ref="O318:O319"/>
    <mergeCell ref="M320:N321"/>
    <mergeCell ref="O320:O321"/>
    <mergeCell ref="AC321:AI321"/>
    <mergeCell ref="AJ321:AP321"/>
    <mergeCell ref="M322:N322"/>
    <mergeCell ref="N314:N315"/>
    <mergeCell ref="O314:O315"/>
    <mergeCell ref="Q314:S314"/>
    <mergeCell ref="N316:N317"/>
    <mergeCell ref="O316:O317"/>
    <mergeCell ref="AC316:AP316"/>
    <mergeCell ref="W317:Y317"/>
    <mergeCell ref="AC317:AI317"/>
    <mergeCell ref="AJ317:AP317"/>
    <mergeCell ref="AC308:AI308"/>
    <mergeCell ref="AJ308:AP308"/>
    <mergeCell ref="W310:Y310"/>
    <mergeCell ref="AC312:AI312"/>
    <mergeCell ref="AJ312:AP312"/>
    <mergeCell ref="K313:L313"/>
    <mergeCell ref="P313:S313"/>
    <mergeCell ref="R303:S303"/>
    <mergeCell ref="AC303:AP303"/>
    <mergeCell ref="AC304:AI304"/>
    <mergeCell ref="AJ304:AP304"/>
    <mergeCell ref="C306:D306"/>
    <mergeCell ref="E306:F306"/>
    <mergeCell ref="C45:G46"/>
    <mergeCell ref="C303:D303"/>
    <mergeCell ref="E303:F303"/>
    <mergeCell ref="G303:I305"/>
    <mergeCell ref="K303:N303"/>
    <mergeCell ref="O303:P303"/>
    <mergeCell ref="C40:F41"/>
    <mergeCell ref="G40:G41"/>
    <mergeCell ref="C42:G42"/>
    <mergeCell ref="K42:Q43"/>
    <mergeCell ref="R42:Z43"/>
    <mergeCell ref="C43:E43"/>
    <mergeCell ref="C32:G33"/>
    <mergeCell ref="C34:F35"/>
    <mergeCell ref="G34:G35"/>
    <mergeCell ref="C36:F37"/>
    <mergeCell ref="G36:G37"/>
    <mergeCell ref="C38:F39"/>
    <mergeCell ref="G38:G39"/>
    <mergeCell ref="C26:F27"/>
    <mergeCell ref="G26:G27"/>
    <mergeCell ref="C28:E29"/>
    <mergeCell ref="F28:F29"/>
    <mergeCell ref="G28:G29"/>
    <mergeCell ref="C30:F31"/>
    <mergeCell ref="G30:G31"/>
    <mergeCell ref="C20:D21"/>
    <mergeCell ref="E20:G21"/>
    <mergeCell ref="C22:E23"/>
    <mergeCell ref="F22:G23"/>
    <mergeCell ref="C24:F25"/>
    <mergeCell ref="G24:G25"/>
    <mergeCell ref="C8:G9"/>
    <mergeCell ref="C11:E11"/>
    <mergeCell ref="C12:E15"/>
    <mergeCell ref="G12:G15"/>
    <mergeCell ref="C16:G17"/>
    <mergeCell ref="C18:D19"/>
    <mergeCell ref="E18:G19"/>
  </mergeCells>
  <hyperlinks>
    <hyperlink ref="K348" r:id="rId1" display="W%@0% F.R"/>
    <hyperlink ref="W305" r:id="rId2" display="W%@0% F.R"/>
    <hyperlink ref="F22" r:id="rId3"/>
    <hyperlink ref="F43" r:id="rId4"/>
    <hyperlink ref="F22:G23" r:id="rId5" display="www.creditcapable.co.nz/html/gold.html"/>
  </hyperlinks>
  <printOptions horizontalCentered="1" verticalCentered="1"/>
  <pageMargins left="7.874015748031496E-2" right="7.874015748031496E-2" top="7.874015748031496E-2" bottom="7.874015748031496E-2" header="0" footer="0"/>
  <pageSetup paperSize="9" scale="79" orientation="landscape" r:id="rId6"/>
  <headerFooter scaleWithDoc="0" alignWithMargins="0">
    <oddFooter>&amp;L&amp;BCredit Capable Confidential&amp;B&amp;C&amp;D&amp;RPage &amp;P</oddFooter>
  </headerFooter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9" name="Drop Down 1">
              <controlPr locked="0" defaultSize="0" autoLine="0" autoPict="0">
                <anchor moveWithCells="1">
                  <from>
                    <xdr:col>3</xdr:col>
                    <xdr:colOff>228600</xdr:colOff>
                    <xdr:row>17</xdr:row>
                    <xdr:rowOff>57150</xdr:rowOff>
                  </from>
                  <to>
                    <xdr:col>4</xdr:col>
                    <xdr:colOff>466725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10" name="Drop Down 2">
              <controlPr locked="0" defaultSize="0" autoLine="0" autoPict="0">
                <anchor moveWithCells="1">
                  <from>
                    <xdr:col>5</xdr:col>
                    <xdr:colOff>752475</xdr:colOff>
                    <xdr:row>17</xdr:row>
                    <xdr:rowOff>57150</xdr:rowOff>
                  </from>
                  <to>
                    <xdr:col>6</xdr:col>
                    <xdr:colOff>1181100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11" name="Drop Down 3">
              <controlPr locked="0" defaultSize="0" autoLine="0" autoPict="0">
                <anchor moveWithCells="1">
                  <from>
                    <xdr:col>5</xdr:col>
                    <xdr:colOff>752475</xdr:colOff>
                    <xdr:row>19</xdr:row>
                    <xdr:rowOff>28575</xdr:rowOff>
                  </from>
                  <to>
                    <xdr:col>6</xdr:col>
                    <xdr:colOff>1190625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2" r:id="rId12" name="Drop Down 4">
              <controlPr locked="0" defaultSize="0" autoLine="0" autoPict="0">
                <anchor moveWithCells="1">
                  <from>
                    <xdr:col>3</xdr:col>
                    <xdr:colOff>228600</xdr:colOff>
                    <xdr:row>19</xdr:row>
                    <xdr:rowOff>19050</xdr:rowOff>
                  </from>
                  <to>
                    <xdr:col>4</xdr:col>
                    <xdr:colOff>476250</xdr:colOff>
                    <xdr:row>20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 tint="-0.249977111117893"/>
    <pageSetUpPr autoPageBreaks="0" fitToPage="1"/>
  </sheetPr>
  <dimension ref="A1:AU420"/>
  <sheetViews>
    <sheetView showGridLines="0" showRowColHeaders="0" tabSelected="1" showOutlineSymbols="0" zoomScaleNormal="100" workbookViewId="0">
      <selection activeCell="C12" sqref="C12:E15"/>
    </sheetView>
  </sheetViews>
  <sheetFormatPr defaultColWidth="9.140625" defaultRowHeight="12.75" x14ac:dyDescent="0.2"/>
  <cols>
    <col min="1" max="1" width="1.7109375" style="121" customWidth="1"/>
    <col min="2" max="2" width="2.140625" style="121" customWidth="1"/>
    <col min="3" max="3" width="14.5703125" style="121" customWidth="1"/>
    <col min="4" max="4" width="10.7109375" style="121" customWidth="1"/>
    <col min="5" max="5" width="11.7109375" style="121" customWidth="1"/>
    <col min="6" max="6" width="13.7109375" style="121" customWidth="1"/>
    <col min="7" max="7" width="18.85546875" style="121" customWidth="1"/>
    <col min="8" max="8" width="1.5703125" style="121" customWidth="1"/>
    <col min="9" max="9" width="0.28515625" style="121" customWidth="1"/>
    <col min="10" max="10" width="1.5703125" style="121" customWidth="1"/>
    <col min="11" max="18" width="7.42578125" style="121" customWidth="1"/>
    <col min="19" max="19" width="7.42578125" style="124" customWidth="1"/>
    <col min="20" max="21" width="7.28515625" style="124" customWidth="1"/>
    <col min="22" max="28" width="7.42578125" style="121" customWidth="1"/>
    <col min="29" max="41" width="7.28515625" style="121" customWidth="1"/>
    <col min="42" max="16384" width="9.140625" style="121"/>
  </cols>
  <sheetData>
    <row r="1" spans="1:37" ht="7.5" customHeight="1" x14ac:dyDescent="0.2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37" ht="15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75"/>
      <c r="Z2" s="175"/>
      <c r="AA2" s="175"/>
      <c r="AB2" s="130"/>
      <c r="AC2" s="130"/>
    </row>
    <row r="3" spans="1:37" ht="12" customHeight="1" x14ac:dyDescent="0.2">
      <c r="A3" s="129"/>
      <c r="B3" s="129"/>
      <c r="C3" s="130"/>
      <c r="D3" s="130"/>
      <c r="E3" s="130"/>
      <c r="F3" s="130"/>
      <c r="G3" s="130"/>
      <c r="H3" s="129"/>
      <c r="I3" s="130"/>
      <c r="J3" s="131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75"/>
      <c r="Z3" s="175"/>
      <c r="AA3" s="175"/>
      <c r="AB3" s="130"/>
      <c r="AC3" s="130"/>
    </row>
    <row r="4" spans="1:37" ht="12" customHeight="1" x14ac:dyDescent="0.2">
      <c r="A4" s="129"/>
      <c r="B4" s="129"/>
      <c r="C4" s="130"/>
      <c r="D4" s="130"/>
      <c r="E4" s="130"/>
      <c r="F4" s="130"/>
      <c r="G4" s="130"/>
      <c r="H4" s="129"/>
      <c r="I4" s="131"/>
      <c r="J4" s="131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75"/>
      <c r="Z4" s="175"/>
      <c r="AA4" s="175"/>
      <c r="AB4" s="130"/>
      <c r="AC4" s="130"/>
    </row>
    <row r="5" spans="1:37" ht="12" customHeight="1" x14ac:dyDescent="0.2">
      <c r="A5" s="129"/>
      <c r="B5" s="132"/>
      <c r="C5" s="130"/>
      <c r="D5" s="130"/>
      <c r="E5" s="130"/>
      <c r="F5" s="130"/>
      <c r="G5" s="130"/>
      <c r="H5" s="133"/>
      <c r="I5" s="131"/>
      <c r="J5" s="131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75"/>
      <c r="Z5" s="175"/>
      <c r="AA5" s="175"/>
      <c r="AB5" s="130"/>
      <c r="AC5" s="130"/>
    </row>
    <row r="6" spans="1:37" ht="13.5" customHeight="1" x14ac:dyDescent="0.2">
      <c r="A6" s="129"/>
      <c r="B6" s="129"/>
      <c r="C6" s="130"/>
      <c r="D6" s="130"/>
      <c r="E6" s="130"/>
      <c r="F6" s="130"/>
      <c r="G6" s="130"/>
      <c r="H6" s="134"/>
      <c r="I6" s="131"/>
      <c r="J6" s="131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75"/>
      <c r="Z6" s="175"/>
      <c r="AA6" s="175"/>
      <c r="AB6" s="130"/>
      <c r="AC6" s="130"/>
      <c r="AE6" s="127"/>
      <c r="AF6" s="127"/>
      <c r="AG6" s="127"/>
      <c r="AH6" s="127"/>
      <c r="AI6" s="127"/>
      <c r="AJ6" s="127"/>
      <c r="AK6" s="127"/>
    </row>
    <row r="7" spans="1:37" ht="13.5" customHeight="1" x14ac:dyDescent="0.2">
      <c r="A7" s="129"/>
      <c r="B7" s="129"/>
      <c r="C7" s="130"/>
      <c r="D7" s="130"/>
      <c r="E7" s="130"/>
      <c r="F7" s="130"/>
      <c r="G7" s="130"/>
      <c r="H7" s="134"/>
      <c r="I7" s="131"/>
      <c r="J7" s="131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55"/>
      <c r="AB7" s="130"/>
      <c r="AC7" s="130"/>
      <c r="AE7" s="127"/>
      <c r="AF7" s="127"/>
      <c r="AG7" s="127"/>
      <c r="AH7" s="127"/>
      <c r="AI7" s="127"/>
      <c r="AJ7" s="127"/>
      <c r="AK7" s="127"/>
    </row>
    <row r="8" spans="1:37" ht="13.5" customHeight="1" x14ac:dyDescent="0.2">
      <c r="A8" s="129"/>
      <c r="B8" s="129"/>
      <c r="C8" s="201" t="s">
        <v>176</v>
      </c>
      <c r="D8" s="201"/>
      <c r="E8" s="201"/>
      <c r="F8" s="201"/>
      <c r="G8" s="201"/>
      <c r="H8" s="134"/>
      <c r="I8" s="131"/>
      <c r="J8" s="131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55"/>
      <c r="AB8" s="130"/>
      <c r="AC8" s="130"/>
      <c r="AE8" s="127"/>
      <c r="AF8" s="127"/>
      <c r="AG8" s="127"/>
      <c r="AH8" s="127"/>
      <c r="AI8" s="127"/>
      <c r="AJ8" s="127"/>
      <c r="AK8" s="127"/>
    </row>
    <row r="9" spans="1:37" ht="13.5" customHeight="1" x14ac:dyDescent="0.2">
      <c r="A9" s="129"/>
      <c r="B9" s="129"/>
      <c r="C9" s="201"/>
      <c r="D9" s="201"/>
      <c r="E9" s="201"/>
      <c r="F9" s="201"/>
      <c r="G9" s="201"/>
      <c r="H9" s="129"/>
      <c r="I9" s="135"/>
      <c r="J9" s="136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36"/>
      <c r="AB9" s="130"/>
      <c r="AC9" s="130"/>
      <c r="AE9" s="127"/>
      <c r="AF9" s="127"/>
      <c r="AG9" s="127"/>
      <c r="AH9" s="127"/>
      <c r="AI9" s="127"/>
      <c r="AJ9" s="127"/>
      <c r="AK9" s="127"/>
    </row>
    <row r="10" spans="1:37" ht="13.5" customHeight="1" x14ac:dyDescent="0.2">
      <c r="A10" s="129"/>
      <c r="B10" s="129"/>
      <c r="C10" s="176"/>
      <c r="D10" s="176"/>
      <c r="E10" s="176"/>
      <c r="F10" s="131"/>
      <c r="G10" s="176"/>
      <c r="H10" s="129"/>
      <c r="I10" s="135"/>
      <c r="J10" s="136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36"/>
      <c r="AB10" s="130"/>
      <c r="AC10" s="130"/>
      <c r="AE10" s="126"/>
      <c r="AF10" s="119"/>
      <c r="AG10" s="119"/>
      <c r="AH10" s="119"/>
      <c r="AI10" s="119"/>
      <c r="AJ10" s="119"/>
      <c r="AK10" s="119"/>
    </row>
    <row r="11" spans="1:37" ht="13.5" customHeight="1" thickBot="1" x14ac:dyDescent="0.25">
      <c r="A11" s="129"/>
      <c r="B11" s="129"/>
      <c r="C11" s="202" t="s">
        <v>140</v>
      </c>
      <c r="D11" s="202"/>
      <c r="E11" s="202"/>
      <c r="F11" s="131"/>
      <c r="G11" s="177" t="s">
        <v>139</v>
      </c>
      <c r="H11" s="129"/>
      <c r="I11" s="135"/>
      <c r="J11" s="136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36"/>
      <c r="AB11" s="130"/>
      <c r="AC11" s="130"/>
      <c r="AE11" s="119"/>
      <c r="AF11" s="119"/>
      <c r="AG11" s="119"/>
      <c r="AH11" s="119"/>
      <c r="AI11" s="119"/>
      <c r="AJ11" s="119"/>
      <c r="AK11" s="119"/>
    </row>
    <row r="12" spans="1:37" ht="13.5" customHeight="1" x14ac:dyDescent="0.2">
      <c r="A12" s="129"/>
      <c r="B12" s="129"/>
      <c r="C12" s="203">
        <v>2500</v>
      </c>
      <c r="D12" s="204"/>
      <c r="E12" s="205"/>
      <c r="F12" s="137"/>
      <c r="G12" s="212">
        <v>300</v>
      </c>
      <c r="H12" s="129"/>
      <c r="I12" s="135"/>
      <c r="J12" s="129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38"/>
      <c r="AB12" s="130"/>
      <c r="AC12" s="130"/>
      <c r="AE12" s="119"/>
      <c r="AF12" s="119"/>
      <c r="AG12" s="119"/>
      <c r="AH12" s="119"/>
      <c r="AI12" s="119"/>
      <c r="AJ12" s="119"/>
      <c r="AK12" s="119"/>
    </row>
    <row r="13" spans="1:37" ht="13.5" customHeight="1" x14ac:dyDescent="0.2">
      <c r="A13" s="129"/>
      <c r="B13" s="129"/>
      <c r="C13" s="206"/>
      <c r="D13" s="207"/>
      <c r="E13" s="208"/>
      <c r="F13" s="139"/>
      <c r="G13" s="213"/>
      <c r="H13" s="129"/>
      <c r="I13" s="135"/>
      <c r="J13" s="129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29"/>
      <c r="AB13" s="130"/>
      <c r="AC13" s="130"/>
      <c r="AE13" s="119"/>
      <c r="AF13" s="119"/>
      <c r="AG13" s="119"/>
      <c r="AH13" s="119"/>
      <c r="AI13" s="119"/>
      <c r="AJ13" s="119"/>
      <c r="AK13" s="119"/>
    </row>
    <row r="14" spans="1:37" ht="13.5" customHeight="1" x14ac:dyDescent="0.2">
      <c r="A14" s="129"/>
      <c r="B14" s="129"/>
      <c r="C14" s="206"/>
      <c r="D14" s="207"/>
      <c r="E14" s="208"/>
      <c r="F14" s="140"/>
      <c r="G14" s="213"/>
      <c r="H14" s="129"/>
      <c r="I14" s="135"/>
      <c r="J14" s="129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41"/>
      <c r="AB14" s="130"/>
      <c r="AC14" s="130"/>
      <c r="AE14" s="119"/>
      <c r="AF14" s="119"/>
      <c r="AG14" s="119"/>
      <c r="AH14" s="119"/>
      <c r="AI14" s="119"/>
      <c r="AJ14" s="119"/>
      <c r="AK14" s="119"/>
    </row>
    <row r="15" spans="1:37" ht="13.5" customHeight="1" thickBot="1" x14ac:dyDescent="0.25">
      <c r="A15" s="129"/>
      <c r="B15" s="129"/>
      <c r="C15" s="209"/>
      <c r="D15" s="210"/>
      <c r="E15" s="211"/>
      <c r="F15" s="142"/>
      <c r="G15" s="214"/>
      <c r="H15" s="129"/>
      <c r="I15" s="135"/>
      <c r="J15" s="129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45"/>
      <c r="AB15" s="130"/>
      <c r="AC15" s="130"/>
      <c r="AE15" s="119"/>
      <c r="AF15" s="119"/>
      <c r="AG15" s="119"/>
      <c r="AH15" s="119"/>
      <c r="AI15" s="119"/>
      <c r="AJ15" s="119"/>
      <c r="AK15" s="119"/>
    </row>
    <row r="16" spans="1:37" ht="13.5" customHeight="1" x14ac:dyDescent="0.2">
      <c r="A16" s="129"/>
      <c r="B16" s="129"/>
      <c r="C16" s="215" t="s">
        <v>182</v>
      </c>
      <c r="D16" s="216"/>
      <c r="E16" s="216"/>
      <c r="F16" s="216"/>
      <c r="G16" s="216"/>
      <c r="H16" s="146"/>
      <c r="I16" s="135"/>
      <c r="J16" s="146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47"/>
      <c r="AB16" s="130"/>
      <c r="AC16" s="130"/>
      <c r="AE16" s="119"/>
      <c r="AF16" s="119"/>
      <c r="AG16" s="119"/>
      <c r="AH16" s="119"/>
      <c r="AI16" s="119"/>
      <c r="AJ16" s="119"/>
      <c r="AK16" s="119"/>
    </row>
    <row r="17" spans="1:37" ht="13.5" customHeight="1" thickBot="1" x14ac:dyDescent="0.25">
      <c r="A17" s="129"/>
      <c r="B17" s="129"/>
      <c r="C17" s="216"/>
      <c r="D17" s="216"/>
      <c r="E17" s="216"/>
      <c r="F17" s="216"/>
      <c r="G17" s="216"/>
      <c r="H17" s="129"/>
      <c r="I17" s="135"/>
      <c r="J17" s="129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47"/>
      <c r="AB17" s="130"/>
      <c r="AC17" s="130"/>
      <c r="AE17" s="119"/>
      <c r="AF17" s="119"/>
      <c r="AG17" s="119"/>
      <c r="AH17" s="119"/>
      <c r="AI17" s="119"/>
      <c r="AJ17" s="119"/>
      <c r="AK17" s="119"/>
    </row>
    <row r="18" spans="1:37" ht="13.5" customHeight="1" x14ac:dyDescent="0.2">
      <c r="A18" s="129"/>
      <c r="B18" s="129"/>
      <c r="C18" s="217" t="s">
        <v>104</v>
      </c>
      <c r="D18" s="218"/>
      <c r="E18" s="221" t="s">
        <v>130</v>
      </c>
      <c r="F18" s="221"/>
      <c r="G18" s="222"/>
      <c r="H18" s="129"/>
      <c r="I18" s="135"/>
      <c r="J18" s="129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47"/>
      <c r="AB18" s="130"/>
      <c r="AC18" s="130"/>
      <c r="AE18" s="119"/>
      <c r="AF18" s="119"/>
      <c r="AG18" s="119"/>
      <c r="AH18" s="119"/>
      <c r="AI18" s="119"/>
      <c r="AJ18" s="119"/>
      <c r="AK18" s="119"/>
    </row>
    <row r="19" spans="1:37" ht="13.5" customHeight="1" x14ac:dyDescent="0.2">
      <c r="A19" s="129"/>
      <c r="B19" s="129"/>
      <c r="C19" s="219"/>
      <c r="D19" s="220"/>
      <c r="E19" s="223"/>
      <c r="F19" s="223"/>
      <c r="G19" s="224"/>
      <c r="H19" s="144"/>
      <c r="I19" s="135"/>
      <c r="J19" s="14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47"/>
      <c r="AB19" s="130"/>
      <c r="AC19" s="130"/>
      <c r="AE19" s="119"/>
      <c r="AF19" s="119"/>
      <c r="AG19" s="119"/>
      <c r="AH19" s="119"/>
      <c r="AI19" s="119"/>
      <c r="AJ19" s="119"/>
      <c r="AK19" s="119"/>
    </row>
    <row r="20" spans="1:37" ht="13.5" customHeight="1" x14ac:dyDescent="0.2">
      <c r="A20" s="129"/>
      <c r="B20" s="129"/>
      <c r="C20" s="219" t="s">
        <v>105</v>
      </c>
      <c r="D20" s="220"/>
      <c r="E20" s="220" t="s">
        <v>129</v>
      </c>
      <c r="F20" s="220"/>
      <c r="G20" s="235"/>
      <c r="H20" s="138"/>
      <c r="I20" s="135"/>
      <c r="J20" s="138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47"/>
      <c r="AB20" s="130"/>
      <c r="AC20" s="130"/>
      <c r="AE20" s="119"/>
      <c r="AF20" s="119"/>
      <c r="AG20" s="119"/>
      <c r="AH20" s="119"/>
      <c r="AI20" s="119"/>
      <c r="AJ20" s="119"/>
      <c r="AK20" s="119"/>
    </row>
    <row r="21" spans="1:37" ht="13.5" customHeight="1" thickBot="1" x14ac:dyDescent="0.25">
      <c r="A21" s="129"/>
      <c r="B21" s="129"/>
      <c r="C21" s="233"/>
      <c r="D21" s="234"/>
      <c r="E21" s="234"/>
      <c r="F21" s="234"/>
      <c r="G21" s="236"/>
      <c r="H21" s="129"/>
      <c r="I21" s="135"/>
      <c r="J21" s="129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47"/>
      <c r="AB21" s="130"/>
      <c r="AC21" s="130"/>
      <c r="AE21" s="119"/>
      <c r="AF21" s="119"/>
      <c r="AG21" s="119"/>
      <c r="AH21" s="119"/>
      <c r="AI21" s="119"/>
      <c r="AJ21" s="119"/>
      <c r="AK21" s="119"/>
    </row>
    <row r="22" spans="1:37" ht="13.5" customHeight="1" x14ac:dyDescent="0.2">
      <c r="A22" s="129"/>
      <c r="B22" s="129"/>
      <c r="C22" s="237" t="s">
        <v>141</v>
      </c>
      <c r="D22" s="237"/>
      <c r="E22" s="237"/>
      <c r="F22" s="239" t="s">
        <v>75</v>
      </c>
      <c r="G22" s="239"/>
      <c r="H22" s="129"/>
      <c r="I22" s="135"/>
      <c r="J22" s="129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29"/>
      <c r="AB22" s="130"/>
      <c r="AC22" s="130"/>
      <c r="AE22" s="119"/>
      <c r="AF22" s="119"/>
      <c r="AG22" s="119"/>
      <c r="AH22" s="119"/>
      <c r="AI22" s="119"/>
      <c r="AJ22" s="119"/>
      <c r="AK22" s="119"/>
    </row>
    <row r="23" spans="1:37" ht="13.5" customHeight="1" x14ac:dyDescent="0.2">
      <c r="A23" s="129"/>
      <c r="B23" s="129"/>
      <c r="C23" s="238"/>
      <c r="D23" s="238"/>
      <c r="E23" s="238"/>
      <c r="F23" s="240"/>
      <c r="G23" s="240"/>
      <c r="H23" s="128"/>
      <c r="I23" s="135"/>
      <c r="J23" s="128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29"/>
      <c r="AB23" s="130"/>
      <c r="AC23" s="130"/>
    </row>
    <row r="24" spans="1:37" ht="13.5" customHeight="1" x14ac:dyDescent="0.2">
      <c r="A24" s="129"/>
      <c r="B24" s="129"/>
      <c r="C24" s="225" t="str">
        <f xml:space="preserve"> IF(M317=1,M318, IF(M317=2,M319, IF(M317=3,M320)))</f>
        <v>Monthly Payments</v>
      </c>
      <c r="D24" s="226"/>
      <c r="E24" s="226"/>
      <c r="F24" s="226"/>
      <c r="G24" s="229">
        <f xml:space="preserve"> IF(M317=1,O320*12/52, IF(M317=2,O320*12/52*2, IF(M317=3,O320)))</f>
        <v>91.59</v>
      </c>
      <c r="H24" s="128"/>
      <c r="I24" s="135"/>
      <c r="J24" s="128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29"/>
      <c r="AB24" s="130"/>
      <c r="AC24" s="130"/>
    </row>
    <row r="25" spans="1:37" ht="13.5" customHeight="1" x14ac:dyDescent="0.2">
      <c r="A25" s="129"/>
      <c r="B25" s="129"/>
      <c r="C25" s="227"/>
      <c r="D25" s="228"/>
      <c r="E25" s="228"/>
      <c r="F25" s="228"/>
      <c r="G25" s="230"/>
      <c r="H25" s="138"/>
      <c r="I25" s="135"/>
      <c r="J25" s="138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29"/>
      <c r="AB25" s="130"/>
      <c r="AC25" s="130"/>
    </row>
    <row r="26" spans="1:37" ht="13.5" customHeight="1" x14ac:dyDescent="0.2">
      <c r="A26" s="129"/>
      <c r="B26" s="129"/>
      <c r="C26" s="225" t="s">
        <v>147</v>
      </c>
      <c r="D26" s="226"/>
      <c r="E26" s="226"/>
      <c r="F26" s="226"/>
      <c r="G26" s="229">
        <f>$D$314</f>
        <v>1100.8</v>
      </c>
      <c r="H26" s="138"/>
      <c r="I26" s="135"/>
      <c r="J26" s="138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29"/>
      <c r="AB26" s="130"/>
      <c r="AC26" s="130"/>
    </row>
    <row r="27" spans="1:37" ht="13.5" customHeight="1" x14ac:dyDescent="0.2">
      <c r="A27" s="129"/>
      <c r="B27" s="129"/>
      <c r="C27" s="227"/>
      <c r="D27" s="228"/>
      <c r="E27" s="228"/>
      <c r="F27" s="228"/>
      <c r="G27" s="230"/>
      <c r="H27" s="148"/>
      <c r="I27" s="135"/>
      <c r="J27" s="148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49"/>
      <c r="AB27" s="130"/>
      <c r="AC27" s="130"/>
    </row>
    <row r="28" spans="1:37" ht="13.5" customHeight="1" x14ac:dyDescent="0.2">
      <c r="A28" s="129"/>
      <c r="B28" s="129"/>
      <c r="C28" s="225" t="str">
        <f>IF(F333&lt;3,"N/A",IF(F333&gt;2,"Subsidised Rate and Interest Total"))</f>
        <v>Subsidised Rate and Interest Total</v>
      </c>
      <c r="D28" s="226"/>
      <c r="E28" s="226"/>
      <c r="F28" s="231">
        <f>IF(F333=1,"N/A",IF(F333=2,"N/A",IF(F333=3,"0%",G335)))</f>
        <v>0.2661</v>
      </c>
      <c r="G28" s="229">
        <f>IF(F333&lt;4,"N/A",F314)</f>
        <v>652.24</v>
      </c>
      <c r="H28" s="129"/>
      <c r="I28" s="135"/>
      <c r="J28" s="129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29"/>
      <c r="AB28" s="130"/>
      <c r="AC28" s="130"/>
    </row>
    <row r="29" spans="1:37" ht="13.5" customHeight="1" x14ac:dyDescent="0.2">
      <c r="A29" s="129"/>
      <c r="B29" s="129"/>
      <c r="C29" s="227"/>
      <c r="D29" s="228"/>
      <c r="E29" s="228"/>
      <c r="F29" s="232"/>
      <c r="G29" s="230"/>
      <c r="H29" s="129"/>
      <c r="I29" s="135"/>
      <c r="J29" s="129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29"/>
      <c r="AB29" s="130"/>
      <c r="AC29" s="130"/>
    </row>
    <row r="30" spans="1:37" ht="13.5" customHeight="1" x14ac:dyDescent="0.2">
      <c r="A30" s="129"/>
      <c r="B30" s="129"/>
      <c r="C30" s="225" t="str">
        <f>IF(F333&gt;2,"Interest Savings (Your Client Saves)","N/A")</f>
        <v>Interest Savings (Your Client Saves)</v>
      </c>
      <c r="D30" s="226"/>
      <c r="E30" s="226"/>
      <c r="F30" s="226"/>
      <c r="G30" s="229">
        <f>IF(F333&gt;2,$G$341,"N/A")</f>
        <v>448.56</v>
      </c>
      <c r="H30" s="129"/>
      <c r="I30" s="135"/>
      <c r="J30" s="129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29"/>
      <c r="AB30" s="130"/>
      <c r="AC30" s="130"/>
    </row>
    <row r="31" spans="1:37" ht="13.5" customHeight="1" x14ac:dyDescent="0.2">
      <c r="A31" s="129"/>
      <c r="B31" s="129"/>
      <c r="C31" s="227"/>
      <c r="D31" s="228"/>
      <c r="E31" s="228"/>
      <c r="F31" s="228"/>
      <c r="G31" s="230"/>
      <c r="H31" s="129"/>
      <c r="I31" s="135"/>
      <c r="J31" s="129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29"/>
      <c r="AB31" s="130"/>
      <c r="AC31" s="130"/>
    </row>
    <row r="32" spans="1:37" ht="13.5" customHeight="1" x14ac:dyDescent="0.2">
      <c r="A32" s="129"/>
      <c r="B32" s="129"/>
      <c r="C32" s="243" t="s">
        <v>138</v>
      </c>
      <c r="D32" s="243"/>
      <c r="E32" s="243"/>
      <c r="F32" s="243"/>
      <c r="G32" s="243"/>
      <c r="H32" s="129"/>
      <c r="I32" s="135"/>
      <c r="J32" s="129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29"/>
      <c r="AB32" s="130"/>
      <c r="AC32" s="130"/>
    </row>
    <row r="33" spans="1:29" ht="13.5" customHeight="1" x14ac:dyDescent="0.2">
      <c r="A33" s="129"/>
      <c r="B33" s="129"/>
      <c r="C33" s="243"/>
      <c r="D33" s="243"/>
      <c r="E33" s="243"/>
      <c r="F33" s="243"/>
      <c r="G33" s="243"/>
      <c r="H33" s="129"/>
      <c r="I33" s="135"/>
      <c r="J33" s="129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29"/>
      <c r="AB33" s="130"/>
      <c r="AC33" s="130"/>
    </row>
    <row r="34" spans="1:29" ht="13.5" customHeight="1" x14ac:dyDescent="0.2">
      <c r="A34" s="129"/>
      <c r="B34" s="129"/>
      <c r="C34" s="244" t="str">
        <f>C344</f>
        <v>Purchase Price - Deposit</v>
      </c>
      <c r="D34" s="244"/>
      <c r="E34" s="244"/>
      <c r="F34" s="244"/>
      <c r="G34" s="245">
        <f>G344</f>
        <v>2200</v>
      </c>
      <c r="H34" s="129"/>
      <c r="I34" s="135"/>
      <c r="J34" s="129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29"/>
      <c r="AB34" s="130"/>
      <c r="AC34" s="130"/>
    </row>
    <row r="35" spans="1:29" ht="13.5" customHeight="1" x14ac:dyDescent="0.2">
      <c r="A35" s="129"/>
      <c r="B35" s="129"/>
      <c r="C35" s="244"/>
      <c r="D35" s="244"/>
      <c r="E35" s="244"/>
      <c r="F35" s="244"/>
      <c r="G35" s="245"/>
      <c r="H35" s="129"/>
      <c r="I35" s="135"/>
      <c r="J35" s="129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29"/>
      <c r="AB35" s="130"/>
      <c r="AC35" s="130"/>
    </row>
    <row r="36" spans="1:29" ht="13.5" customHeight="1" x14ac:dyDescent="0.2">
      <c r="A36" s="129"/>
      <c r="B36" s="129"/>
      <c r="C36" s="246" t="str">
        <f>C346</f>
        <v>No Rebate or Retention</v>
      </c>
      <c r="D36" s="246"/>
      <c r="E36" s="246"/>
      <c r="F36" s="246"/>
      <c r="G36" s="247">
        <f>G346</f>
        <v>0</v>
      </c>
      <c r="H36" s="129"/>
      <c r="I36" s="135"/>
      <c r="J36" s="129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29"/>
      <c r="AB36" s="130"/>
      <c r="AC36" s="130"/>
    </row>
    <row r="37" spans="1:29" ht="13.5" customHeight="1" x14ac:dyDescent="0.2">
      <c r="A37" s="129"/>
      <c r="B37" s="129"/>
      <c r="C37" s="246"/>
      <c r="D37" s="246"/>
      <c r="E37" s="246"/>
      <c r="F37" s="246"/>
      <c r="G37" s="247"/>
      <c r="H37" s="129"/>
      <c r="I37" s="135"/>
      <c r="J37" s="129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29"/>
      <c r="AB37" s="130"/>
      <c r="AC37" s="130"/>
    </row>
    <row r="38" spans="1:29" ht="13.5" customHeight="1" x14ac:dyDescent="0.2">
      <c r="A38" s="129"/>
      <c r="B38" s="129"/>
      <c r="C38" s="246" t="str">
        <f>C348</f>
        <v>No Rebate or Retention</v>
      </c>
      <c r="D38" s="246"/>
      <c r="E38" s="246"/>
      <c r="F38" s="246"/>
      <c r="G38" s="248">
        <f>G348</f>
        <v>0</v>
      </c>
      <c r="H38" s="129"/>
      <c r="I38" s="135"/>
      <c r="J38" s="129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29"/>
      <c r="AB38" s="130"/>
      <c r="AC38" s="130"/>
    </row>
    <row r="39" spans="1:29" ht="13.5" customHeight="1" x14ac:dyDescent="0.2">
      <c r="A39" s="129"/>
      <c r="B39" s="129"/>
      <c r="C39" s="246"/>
      <c r="D39" s="246"/>
      <c r="E39" s="246"/>
      <c r="F39" s="246"/>
      <c r="G39" s="248"/>
      <c r="H39" s="129"/>
      <c r="I39" s="135"/>
      <c r="J39" s="129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29"/>
      <c r="AB39" s="130"/>
      <c r="AC39" s="130"/>
    </row>
    <row r="40" spans="1:29" ht="13.5" customHeight="1" x14ac:dyDescent="0.2">
      <c r="A40" s="129"/>
      <c r="B40" s="129"/>
      <c r="C40" s="244" t="str">
        <f>C350</f>
        <v>Total Payable to your Bank Account</v>
      </c>
      <c r="D40" s="244"/>
      <c r="E40" s="244"/>
      <c r="F40" s="244"/>
      <c r="G40" s="251">
        <f>G350</f>
        <v>2200</v>
      </c>
      <c r="H40" s="129"/>
      <c r="I40" s="135"/>
      <c r="J40" s="129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29"/>
      <c r="AB40" s="130"/>
      <c r="AC40" s="130"/>
    </row>
    <row r="41" spans="1:29" ht="14.45" customHeight="1" x14ac:dyDescent="0.2">
      <c r="A41" s="129"/>
      <c r="B41" s="129"/>
      <c r="C41" s="244"/>
      <c r="D41" s="244"/>
      <c r="E41" s="244"/>
      <c r="F41" s="244"/>
      <c r="G41" s="251"/>
      <c r="H41" s="129"/>
      <c r="I41" s="135"/>
      <c r="J41" s="129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29"/>
      <c r="AB41" s="130"/>
      <c r="AC41" s="130"/>
    </row>
    <row r="42" spans="1:29" ht="15.6" customHeight="1" x14ac:dyDescent="0.2">
      <c r="A42" s="129"/>
      <c r="B42" s="129"/>
      <c r="C42" s="252" t="s">
        <v>95</v>
      </c>
      <c r="D42" s="252"/>
      <c r="E42" s="252"/>
      <c r="F42" s="252"/>
      <c r="G42" s="252"/>
      <c r="H42" s="129"/>
      <c r="I42" s="135"/>
      <c r="J42" s="129"/>
      <c r="K42" s="253"/>
      <c r="L42" s="253"/>
      <c r="M42" s="253"/>
      <c r="N42" s="253"/>
      <c r="O42" s="253"/>
      <c r="P42" s="253"/>
      <c r="Q42" s="253"/>
      <c r="R42" s="241"/>
      <c r="S42" s="241"/>
      <c r="T42" s="241"/>
      <c r="U42" s="241"/>
      <c r="V42" s="241"/>
      <c r="W42" s="241"/>
      <c r="X42" s="241"/>
      <c r="Y42" s="241"/>
      <c r="Z42" s="241"/>
      <c r="AA42" s="150"/>
      <c r="AB42" s="130"/>
      <c r="AC42" s="130"/>
    </row>
    <row r="43" spans="1:29" ht="12" customHeight="1" x14ac:dyDescent="0.2">
      <c r="A43" s="129"/>
      <c r="B43" s="129"/>
      <c r="C43" s="242" t="s">
        <v>142</v>
      </c>
      <c r="D43" s="242"/>
      <c r="E43" s="242"/>
      <c r="F43" s="151" t="s">
        <v>82</v>
      </c>
      <c r="G43" s="179"/>
      <c r="H43" s="129"/>
      <c r="I43" s="135"/>
      <c r="J43" s="129"/>
      <c r="K43" s="253"/>
      <c r="L43" s="253"/>
      <c r="M43" s="253"/>
      <c r="N43" s="253"/>
      <c r="O43" s="253"/>
      <c r="P43" s="253"/>
      <c r="Q43" s="253"/>
      <c r="R43" s="241"/>
      <c r="S43" s="241"/>
      <c r="T43" s="241"/>
      <c r="U43" s="241"/>
      <c r="V43" s="241"/>
      <c r="W43" s="241"/>
      <c r="X43" s="241"/>
      <c r="Y43" s="241"/>
      <c r="Z43" s="241"/>
      <c r="AA43" s="150"/>
      <c r="AB43" s="130"/>
      <c r="AC43" s="130"/>
    </row>
    <row r="44" spans="1:29" ht="8.4499999999999993" customHeight="1" x14ac:dyDescent="0.2">
      <c r="A44" s="129"/>
      <c r="B44" s="129"/>
      <c r="C44" s="158"/>
      <c r="D44" s="158"/>
      <c r="E44" s="158"/>
      <c r="F44" s="151"/>
      <c r="G44" s="179"/>
      <c r="H44" s="129"/>
      <c r="I44" s="135"/>
      <c r="J44" s="129"/>
      <c r="K44" s="156"/>
      <c r="L44" s="156"/>
      <c r="M44" s="156"/>
      <c r="N44" s="156"/>
      <c r="O44" s="156"/>
      <c r="P44" s="156"/>
      <c r="Q44" s="156"/>
      <c r="R44" s="157"/>
      <c r="S44" s="157"/>
      <c r="T44" s="180"/>
      <c r="U44" s="181"/>
      <c r="V44" s="157"/>
      <c r="W44" s="157"/>
      <c r="X44" s="157"/>
      <c r="Y44" s="157"/>
      <c r="Z44" s="157"/>
      <c r="AA44" s="150"/>
      <c r="AB44" s="130"/>
      <c r="AC44" s="130"/>
    </row>
    <row r="45" spans="1:29" ht="13.5" customHeight="1" x14ac:dyDescent="0.2">
      <c r="A45" s="129"/>
      <c r="B45" s="129"/>
      <c r="C45" s="249" t="s">
        <v>175</v>
      </c>
      <c r="D45" s="250"/>
      <c r="E45" s="250"/>
      <c r="F45" s="250"/>
      <c r="G45" s="250"/>
      <c r="H45" s="129"/>
      <c r="I45" s="135"/>
      <c r="J45" s="129"/>
      <c r="K45" s="156"/>
      <c r="L45" s="156"/>
      <c r="M45" s="156"/>
      <c r="N45" s="156"/>
      <c r="O45" s="156"/>
      <c r="P45" s="156"/>
      <c r="Q45" s="156"/>
      <c r="R45" s="157"/>
      <c r="S45" s="157"/>
      <c r="T45" s="180"/>
      <c r="U45" s="181"/>
      <c r="V45" s="157"/>
      <c r="W45" s="157"/>
      <c r="X45" s="157"/>
      <c r="Y45" s="157"/>
      <c r="Z45" s="157"/>
      <c r="AA45" s="150"/>
      <c r="AB45" s="130"/>
      <c r="AC45" s="130"/>
    </row>
    <row r="46" spans="1:29" ht="18" customHeight="1" x14ac:dyDescent="0.2">
      <c r="A46" s="129"/>
      <c r="B46" s="129"/>
      <c r="C46" s="250"/>
      <c r="D46" s="250"/>
      <c r="E46" s="250"/>
      <c r="F46" s="250"/>
      <c r="G46" s="250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30"/>
      <c r="AC46" s="130"/>
    </row>
    <row r="47" spans="1:29" ht="12.75" customHeight="1" x14ac:dyDescent="0.2">
      <c r="A47" s="129"/>
      <c r="B47" s="129"/>
      <c r="C47" s="143"/>
      <c r="D47" s="138"/>
      <c r="E47" s="129"/>
      <c r="F47" s="138"/>
      <c r="G47" s="138"/>
      <c r="H47" s="138"/>
      <c r="I47" s="138"/>
      <c r="J47" s="138"/>
      <c r="K47" s="130"/>
      <c r="L47" s="130"/>
      <c r="M47" s="130"/>
      <c r="N47" s="130"/>
      <c r="O47" s="130"/>
      <c r="P47" s="130"/>
      <c r="Q47" s="130"/>
      <c r="R47" s="130"/>
      <c r="S47" s="129"/>
      <c r="T47" s="129"/>
      <c r="U47" s="129"/>
      <c r="V47" s="130"/>
      <c r="W47" s="130"/>
      <c r="X47" s="130"/>
      <c r="Y47" s="130"/>
      <c r="Z47" s="152"/>
      <c r="AA47" s="130"/>
      <c r="AB47" s="130"/>
      <c r="AC47" s="130"/>
    </row>
    <row r="48" spans="1:29" ht="12.75" customHeight="1" x14ac:dyDescent="0.2">
      <c r="A48" s="129"/>
      <c r="B48" s="129"/>
      <c r="C48" s="143"/>
      <c r="D48" s="138"/>
      <c r="E48" s="129"/>
      <c r="F48" s="138"/>
      <c r="G48" s="138"/>
      <c r="H48" s="138"/>
      <c r="I48" s="138"/>
      <c r="J48" s="138"/>
      <c r="K48" s="130"/>
      <c r="L48" s="130"/>
      <c r="M48" s="130"/>
      <c r="N48" s="130"/>
      <c r="O48" s="130"/>
      <c r="P48" s="130"/>
      <c r="Q48" s="130"/>
      <c r="R48" s="130"/>
      <c r="S48" s="129"/>
      <c r="T48" s="129"/>
      <c r="U48" s="129"/>
      <c r="V48" s="130"/>
      <c r="W48" s="130"/>
      <c r="X48" s="130"/>
      <c r="Y48" s="130"/>
      <c r="Z48" s="152"/>
      <c r="AA48" s="130"/>
      <c r="AB48" s="130"/>
      <c r="AC48" s="130"/>
    </row>
    <row r="49" spans="1:29" ht="12.75" customHeight="1" x14ac:dyDescent="0.2">
      <c r="A49" s="129"/>
      <c r="B49" s="129"/>
      <c r="C49" s="143"/>
      <c r="D49" s="138"/>
      <c r="E49" s="129"/>
      <c r="F49" s="138"/>
      <c r="G49" s="138"/>
      <c r="H49" s="138"/>
      <c r="I49" s="138"/>
      <c r="J49" s="138"/>
      <c r="K49" s="130"/>
      <c r="L49" s="130"/>
      <c r="M49" s="130"/>
      <c r="N49" s="130"/>
      <c r="O49" s="130"/>
      <c r="P49" s="130"/>
      <c r="Q49" s="130"/>
      <c r="R49" s="130"/>
      <c r="S49" s="129"/>
      <c r="T49" s="129"/>
      <c r="U49" s="129"/>
      <c r="V49" s="130"/>
      <c r="W49" s="130"/>
      <c r="X49" s="130"/>
      <c r="Y49" s="130"/>
      <c r="Z49" s="152"/>
      <c r="AA49" s="130"/>
      <c r="AB49" s="130"/>
      <c r="AC49" s="130"/>
    </row>
    <row r="50" spans="1:29" ht="12.75" customHeight="1" x14ac:dyDescent="0.2">
      <c r="A50" s="129"/>
      <c r="B50" s="129"/>
      <c r="C50" s="143"/>
      <c r="D50" s="138"/>
      <c r="E50" s="129"/>
      <c r="F50" s="138"/>
      <c r="G50" s="138"/>
      <c r="H50" s="138"/>
      <c r="I50" s="138"/>
      <c r="J50" s="138"/>
      <c r="K50" s="130"/>
      <c r="L50" s="130"/>
      <c r="M50" s="130"/>
      <c r="N50" s="130"/>
      <c r="O50" s="130"/>
      <c r="P50" s="130"/>
      <c r="Q50" s="130"/>
      <c r="R50" s="130"/>
      <c r="S50" s="129"/>
      <c r="T50" s="129"/>
      <c r="U50" s="129"/>
      <c r="V50" s="130"/>
      <c r="W50" s="130"/>
      <c r="X50" s="130"/>
      <c r="Y50" s="130"/>
      <c r="Z50" s="152"/>
      <c r="AA50" s="130"/>
      <c r="AB50" s="130"/>
      <c r="AC50" s="130"/>
    </row>
    <row r="51" spans="1:29" ht="12.75" customHeight="1" x14ac:dyDescent="0.2">
      <c r="A51" s="129"/>
      <c r="B51" s="129"/>
      <c r="C51" s="143"/>
      <c r="D51" s="138"/>
      <c r="E51" s="129"/>
      <c r="F51" s="138"/>
      <c r="G51" s="138"/>
      <c r="H51" s="138"/>
      <c r="I51" s="138"/>
      <c r="J51" s="138"/>
      <c r="K51" s="130"/>
      <c r="L51" s="130"/>
      <c r="M51" s="130"/>
      <c r="N51" s="130"/>
      <c r="O51" s="130"/>
      <c r="P51" s="130"/>
      <c r="Q51" s="130"/>
      <c r="R51" s="130"/>
      <c r="S51" s="129"/>
      <c r="T51" s="129"/>
      <c r="U51" s="129"/>
      <c r="V51" s="130"/>
      <c r="W51" s="130"/>
      <c r="X51" s="130"/>
      <c r="Y51" s="130"/>
      <c r="Z51" s="152"/>
      <c r="AA51" s="130"/>
      <c r="AB51" s="130"/>
      <c r="AC51" s="130"/>
    </row>
    <row r="52" spans="1:29" ht="12.75" customHeight="1" x14ac:dyDescent="0.2">
      <c r="A52" s="129"/>
      <c r="B52" s="129"/>
      <c r="C52" s="143"/>
      <c r="D52" s="138"/>
      <c r="E52" s="129"/>
      <c r="F52" s="138"/>
      <c r="G52" s="138"/>
      <c r="H52" s="138"/>
      <c r="I52" s="138"/>
      <c r="J52" s="138"/>
      <c r="K52" s="130"/>
      <c r="L52" s="130"/>
      <c r="M52" s="130"/>
      <c r="N52" s="130"/>
      <c r="O52" s="130"/>
      <c r="P52" s="130"/>
      <c r="Q52" s="130"/>
      <c r="R52" s="130"/>
      <c r="S52" s="129"/>
      <c r="T52" s="129"/>
      <c r="U52" s="129"/>
      <c r="V52" s="130"/>
      <c r="W52" s="130"/>
      <c r="X52" s="130"/>
      <c r="Y52" s="130"/>
      <c r="Z52" s="152"/>
      <c r="AA52" s="130"/>
      <c r="AB52" s="130"/>
      <c r="AC52" s="130"/>
    </row>
    <row r="53" spans="1:29" ht="12.75" customHeight="1" x14ac:dyDescent="0.2">
      <c r="A53" s="129"/>
      <c r="B53" s="129"/>
      <c r="C53" s="143"/>
      <c r="D53" s="138"/>
      <c r="E53" s="129"/>
      <c r="F53" s="138"/>
      <c r="G53" s="138"/>
      <c r="H53" s="138"/>
      <c r="I53" s="138"/>
      <c r="J53" s="138"/>
      <c r="K53" s="130"/>
      <c r="L53" s="130"/>
      <c r="M53" s="130"/>
      <c r="N53" s="130"/>
      <c r="O53" s="130"/>
      <c r="P53" s="130"/>
      <c r="Q53" s="130"/>
      <c r="R53" s="130"/>
      <c r="S53" s="129"/>
      <c r="T53" s="129"/>
      <c r="U53" s="129"/>
      <c r="V53" s="130"/>
      <c r="W53" s="130"/>
      <c r="X53" s="130"/>
      <c r="Y53" s="130"/>
      <c r="Z53" s="152"/>
      <c r="AA53" s="130"/>
      <c r="AB53" s="130"/>
      <c r="AC53" s="130"/>
    </row>
    <row r="54" spans="1:29" ht="12.75" customHeight="1" x14ac:dyDescent="0.2">
      <c r="A54" s="129"/>
      <c r="B54" s="129"/>
      <c r="C54" s="143"/>
      <c r="D54" s="138"/>
      <c r="E54" s="129"/>
      <c r="F54" s="138"/>
      <c r="G54" s="138"/>
      <c r="H54" s="138"/>
      <c r="I54" s="138"/>
      <c r="J54" s="138"/>
      <c r="K54" s="130"/>
      <c r="L54" s="130"/>
      <c r="M54" s="130"/>
      <c r="N54" s="130"/>
      <c r="O54" s="130"/>
      <c r="P54" s="130"/>
      <c r="Q54" s="130"/>
      <c r="R54" s="130"/>
      <c r="S54" s="129"/>
      <c r="T54" s="129"/>
      <c r="U54" s="129"/>
      <c r="V54" s="130"/>
      <c r="W54" s="130"/>
      <c r="X54" s="130"/>
      <c r="Y54" s="130"/>
      <c r="Z54" s="152"/>
      <c r="AA54" s="130"/>
      <c r="AB54" s="130"/>
      <c r="AC54" s="130"/>
    </row>
    <row r="55" spans="1:29" ht="12.75" customHeight="1" x14ac:dyDescent="0.2">
      <c r="A55" s="129"/>
      <c r="B55" s="129"/>
      <c r="C55" s="143"/>
      <c r="D55" s="138"/>
      <c r="E55" s="129"/>
      <c r="F55" s="138"/>
      <c r="G55" s="138"/>
      <c r="H55" s="138"/>
      <c r="I55" s="138"/>
      <c r="J55" s="138"/>
      <c r="K55" s="130"/>
      <c r="L55" s="130"/>
      <c r="M55" s="130"/>
      <c r="N55" s="130"/>
      <c r="O55" s="130"/>
      <c r="P55" s="130"/>
      <c r="Q55" s="130"/>
      <c r="R55" s="130"/>
      <c r="S55" s="129"/>
      <c r="T55" s="129"/>
      <c r="U55" s="129"/>
      <c r="V55" s="130"/>
      <c r="W55" s="130"/>
      <c r="X55" s="130"/>
      <c r="Y55" s="130"/>
      <c r="Z55" s="152"/>
      <c r="AA55" s="130"/>
      <c r="AB55" s="130"/>
      <c r="AC55" s="130"/>
    </row>
    <row r="56" spans="1:29" ht="12.75" customHeight="1" x14ac:dyDescent="0.2">
      <c r="A56" s="129"/>
      <c r="B56" s="129"/>
      <c r="C56" s="143"/>
      <c r="D56" s="138"/>
      <c r="E56" s="129"/>
      <c r="F56" s="138"/>
      <c r="G56" s="138"/>
      <c r="H56" s="138"/>
      <c r="I56" s="138"/>
      <c r="J56" s="138"/>
      <c r="K56" s="130"/>
      <c r="L56" s="130"/>
      <c r="M56" s="130"/>
      <c r="N56" s="130"/>
      <c r="O56" s="130"/>
      <c r="P56" s="130"/>
      <c r="Q56" s="130"/>
      <c r="R56" s="130"/>
      <c r="S56" s="129"/>
      <c r="T56" s="129"/>
      <c r="U56" s="129"/>
      <c r="V56" s="130"/>
      <c r="W56" s="130"/>
      <c r="X56" s="130"/>
      <c r="Y56" s="130"/>
      <c r="Z56" s="152"/>
      <c r="AA56" s="130"/>
      <c r="AB56" s="130"/>
      <c r="AC56" s="130"/>
    </row>
    <row r="57" spans="1:29" ht="12.75" customHeight="1" x14ac:dyDescent="0.2">
      <c r="A57" s="129"/>
      <c r="B57" s="129"/>
      <c r="C57" s="143"/>
      <c r="D57" s="138"/>
      <c r="E57" s="129"/>
      <c r="F57" s="138"/>
      <c r="G57" s="138"/>
      <c r="H57" s="138"/>
      <c r="I57" s="138"/>
      <c r="J57" s="138"/>
      <c r="K57" s="130"/>
      <c r="L57" s="130"/>
      <c r="M57" s="130"/>
      <c r="N57" s="130"/>
      <c r="O57" s="130"/>
      <c r="P57" s="130"/>
      <c r="Q57" s="130"/>
      <c r="R57" s="130"/>
      <c r="S57" s="129"/>
      <c r="T57" s="129"/>
      <c r="U57" s="129"/>
      <c r="V57" s="130"/>
      <c r="W57" s="130"/>
      <c r="X57" s="130"/>
      <c r="Y57" s="130"/>
      <c r="Z57" s="152"/>
      <c r="AA57" s="130"/>
      <c r="AB57" s="130"/>
      <c r="AC57" s="130"/>
    </row>
    <row r="58" spans="1:29" ht="12.75" customHeight="1" x14ac:dyDescent="0.2">
      <c r="A58" s="129"/>
      <c r="B58" s="129"/>
      <c r="C58" s="143"/>
      <c r="D58" s="138"/>
      <c r="E58" s="129"/>
      <c r="F58" s="138"/>
      <c r="G58" s="138"/>
      <c r="H58" s="138"/>
      <c r="I58" s="138"/>
      <c r="J58" s="138"/>
      <c r="K58" s="130"/>
      <c r="L58" s="130"/>
      <c r="M58" s="130"/>
      <c r="N58" s="130"/>
      <c r="O58" s="130"/>
      <c r="P58" s="130"/>
      <c r="Q58" s="130"/>
      <c r="R58" s="130"/>
      <c r="S58" s="129"/>
      <c r="T58" s="129"/>
      <c r="U58" s="129"/>
      <c r="V58" s="130"/>
      <c r="W58" s="130"/>
      <c r="X58" s="130"/>
      <c r="Y58" s="130"/>
      <c r="Z58" s="152"/>
      <c r="AA58" s="130"/>
      <c r="AB58" s="130"/>
      <c r="AC58" s="130"/>
    </row>
    <row r="59" spans="1:29" ht="12.75" customHeight="1" x14ac:dyDescent="0.2">
      <c r="A59" s="129"/>
      <c r="B59" s="129"/>
      <c r="C59" s="143"/>
      <c r="D59" s="138"/>
      <c r="E59" s="129"/>
      <c r="F59" s="138"/>
      <c r="G59" s="138"/>
      <c r="H59" s="138"/>
      <c r="I59" s="138"/>
      <c r="J59" s="138"/>
      <c r="K59" s="130"/>
      <c r="L59" s="130"/>
      <c r="M59" s="130"/>
      <c r="N59" s="130"/>
      <c r="O59" s="130"/>
      <c r="P59" s="130"/>
      <c r="Q59" s="130"/>
      <c r="R59" s="130"/>
      <c r="S59" s="129"/>
      <c r="T59" s="129"/>
      <c r="U59" s="129"/>
      <c r="V59" s="130"/>
      <c r="W59" s="130"/>
      <c r="X59" s="130"/>
      <c r="Y59" s="130"/>
      <c r="Z59" s="152"/>
      <c r="AA59" s="130"/>
      <c r="AB59" s="130"/>
      <c r="AC59" s="130"/>
    </row>
    <row r="60" spans="1:29" ht="12.75" customHeight="1" x14ac:dyDescent="0.2">
      <c r="A60" s="129"/>
      <c r="B60" s="129"/>
      <c r="C60" s="143"/>
      <c r="D60" s="138"/>
      <c r="E60" s="129"/>
      <c r="F60" s="138"/>
      <c r="G60" s="138"/>
      <c r="H60" s="138"/>
      <c r="I60" s="138"/>
      <c r="J60" s="138"/>
      <c r="K60" s="130"/>
      <c r="L60" s="130"/>
      <c r="M60" s="130"/>
      <c r="N60" s="130"/>
      <c r="O60" s="130"/>
      <c r="P60" s="130"/>
      <c r="Q60" s="130"/>
      <c r="R60" s="130"/>
      <c r="S60" s="129"/>
      <c r="T60" s="129"/>
      <c r="U60" s="129"/>
      <c r="V60" s="130"/>
      <c r="W60" s="130"/>
      <c r="X60" s="130"/>
      <c r="Y60" s="130"/>
      <c r="Z60" s="152"/>
      <c r="AA60" s="130"/>
      <c r="AB60" s="130"/>
      <c r="AC60" s="130"/>
    </row>
    <row r="61" spans="1:29" ht="12.75" customHeight="1" x14ac:dyDescent="0.2">
      <c r="A61" s="129"/>
      <c r="B61" s="129"/>
      <c r="C61" s="143"/>
      <c r="D61" s="138"/>
      <c r="E61" s="129"/>
      <c r="F61" s="138"/>
      <c r="G61" s="138"/>
      <c r="H61" s="138"/>
      <c r="I61" s="138"/>
      <c r="J61" s="138"/>
      <c r="K61" s="130"/>
      <c r="L61" s="130"/>
      <c r="M61" s="130"/>
      <c r="N61" s="130"/>
      <c r="O61" s="130"/>
      <c r="P61" s="130"/>
      <c r="Q61" s="130"/>
      <c r="R61" s="130"/>
      <c r="S61" s="129"/>
      <c r="T61" s="129"/>
      <c r="U61" s="129"/>
      <c r="V61" s="130"/>
      <c r="W61" s="130"/>
      <c r="X61" s="130"/>
      <c r="Y61" s="130"/>
      <c r="Z61" s="152"/>
      <c r="AA61" s="130"/>
      <c r="AB61" s="130"/>
      <c r="AC61" s="130"/>
    </row>
    <row r="62" spans="1:29" ht="12.75" customHeight="1" x14ac:dyDescent="0.2">
      <c r="A62" s="129"/>
      <c r="B62" s="129"/>
      <c r="C62" s="143"/>
      <c r="D62" s="138"/>
      <c r="E62" s="129"/>
      <c r="F62" s="138"/>
      <c r="G62" s="138"/>
      <c r="H62" s="138"/>
      <c r="I62" s="138"/>
      <c r="J62" s="138"/>
      <c r="K62" s="130"/>
      <c r="L62" s="130"/>
      <c r="M62" s="130"/>
      <c r="N62" s="130"/>
      <c r="O62" s="130"/>
      <c r="P62" s="130"/>
      <c r="Q62" s="130"/>
      <c r="R62" s="130"/>
      <c r="S62" s="129"/>
      <c r="T62" s="129"/>
      <c r="U62" s="129"/>
      <c r="V62" s="130"/>
      <c r="W62" s="130"/>
      <c r="X62" s="130"/>
      <c r="Y62" s="130"/>
      <c r="Z62" s="152"/>
      <c r="AA62" s="130"/>
      <c r="AB62" s="130"/>
      <c r="AC62" s="130"/>
    </row>
    <row r="63" spans="1:29" ht="12.75" customHeight="1" x14ac:dyDescent="0.2">
      <c r="A63" s="129"/>
      <c r="B63" s="129"/>
      <c r="C63" s="143"/>
      <c r="D63" s="138"/>
      <c r="E63" s="129"/>
      <c r="F63" s="138"/>
      <c r="G63" s="138"/>
      <c r="H63" s="138"/>
      <c r="I63" s="138"/>
      <c r="J63" s="138"/>
      <c r="K63" s="130"/>
      <c r="L63" s="130"/>
      <c r="M63" s="130"/>
      <c r="N63" s="130"/>
      <c r="O63" s="130"/>
      <c r="P63" s="130"/>
      <c r="Q63" s="130"/>
      <c r="R63" s="130"/>
      <c r="S63" s="129"/>
      <c r="T63" s="129"/>
      <c r="U63" s="129"/>
      <c r="V63" s="130"/>
      <c r="W63" s="130"/>
      <c r="X63" s="130"/>
      <c r="Y63" s="130"/>
      <c r="Z63" s="152"/>
      <c r="AA63" s="130"/>
      <c r="AB63" s="130"/>
      <c r="AC63" s="130"/>
    </row>
    <row r="64" spans="1:29" ht="12.75" customHeight="1" x14ac:dyDescent="0.2">
      <c r="A64" s="129"/>
      <c r="B64" s="129"/>
      <c r="C64" s="143"/>
      <c r="D64" s="138"/>
      <c r="E64" s="129"/>
      <c r="F64" s="138"/>
      <c r="G64" s="138"/>
      <c r="H64" s="138"/>
      <c r="I64" s="138"/>
      <c r="J64" s="138"/>
      <c r="K64" s="130"/>
      <c r="L64" s="130"/>
      <c r="M64" s="130"/>
      <c r="N64" s="130"/>
      <c r="O64" s="130"/>
      <c r="P64" s="130"/>
      <c r="Q64" s="130"/>
      <c r="R64" s="130"/>
      <c r="S64" s="129"/>
      <c r="T64" s="129"/>
      <c r="U64" s="129"/>
      <c r="V64" s="130"/>
      <c r="W64" s="130"/>
      <c r="X64" s="130"/>
      <c r="Y64" s="130"/>
      <c r="Z64" s="152"/>
      <c r="AA64" s="130"/>
      <c r="AB64" s="130"/>
      <c r="AC64" s="130"/>
    </row>
    <row r="65" spans="1:29" ht="12.75" customHeight="1" x14ac:dyDescent="0.2">
      <c r="A65" s="129"/>
      <c r="B65" s="129"/>
      <c r="C65" s="143"/>
      <c r="D65" s="138"/>
      <c r="E65" s="129"/>
      <c r="F65" s="138"/>
      <c r="G65" s="138"/>
      <c r="H65" s="138"/>
      <c r="I65" s="138"/>
      <c r="J65" s="138"/>
      <c r="K65" s="130"/>
      <c r="L65" s="130"/>
      <c r="M65" s="130"/>
      <c r="N65" s="130"/>
      <c r="O65" s="130"/>
      <c r="P65" s="130"/>
      <c r="Q65" s="130"/>
      <c r="R65" s="130"/>
      <c r="S65" s="129"/>
      <c r="T65" s="129"/>
      <c r="U65" s="129"/>
      <c r="V65" s="130"/>
      <c r="W65" s="130"/>
      <c r="X65" s="130"/>
      <c r="Y65" s="130"/>
      <c r="Z65" s="152"/>
      <c r="AA65" s="130"/>
      <c r="AB65" s="130"/>
      <c r="AC65" s="130"/>
    </row>
    <row r="66" spans="1:29" ht="12.75" customHeight="1" x14ac:dyDescent="0.2">
      <c r="A66" s="129"/>
      <c r="B66" s="129"/>
      <c r="C66" s="143"/>
      <c r="D66" s="138"/>
      <c r="E66" s="129"/>
      <c r="F66" s="138"/>
      <c r="G66" s="138"/>
      <c r="H66" s="138"/>
      <c r="I66" s="138"/>
      <c r="J66" s="138"/>
      <c r="K66" s="130"/>
      <c r="L66" s="130"/>
      <c r="M66" s="130"/>
      <c r="N66" s="130"/>
      <c r="O66" s="130"/>
      <c r="P66" s="130"/>
      <c r="Q66" s="130"/>
      <c r="R66" s="130"/>
      <c r="S66" s="129"/>
      <c r="T66" s="129"/>
      <c r="U66" s="129"/>
      <c r="V66" s="130"/>
      <c r="W66" s="130"/>
      <c r="X66" s="130"/>
      <c r="Y66" s="130"/>
      <c r="Z66" s="152"/>
      <c r="AA66" s="130"/>
      <c r="AB66" s="130"/>
      <c r="AC66" s="130"/>
    </row>
    <row r="67" spans="1:29" ht="12.75" customHeight="1" x14ac:dyDescent="0.2">
      <c r="A67" s="129"/>
      <c r="B67" s="129"/>
      <c r="C67" s="143"/>
      <c r="D67" s="138"/>
      <c r="E67" s="129"/>
      <c r="F67" s="138"/>
      <c r="G67" s="138"/>
      <c r="H67" s="138"/>
      <c r="I67" s="138"/>
      <c r="J67" s="138"/>
      <c r="K67" s="130"/>
      <c r="L67" s="130"/>
      <c r="M67" s="130"/>
      <c r="N67" s="130"/>
      <c r="O67" s="130"/>
      <c r="P67" s="130"/>
      <c r="Q67" s="130"/>
      <c r="R67" s="130"/>
      <c r="S67" s="129"/>
      <c r="T67" s="129"/>
      <c r="U67" s="129"/>
      <c r="V67" s="130"/>
      <c r="W67" s="130"/>
      <c r="X67" s="130"/>
      <c r="Y67" s="130"/>
      <c r="Z67" s="152"/>
      <c r="AA67" s="130"/>
      <c r="AB67" s="130"/>
      <c r="AC67" s="130"/>
    </row>
    <row r="68" spans="1:29" ht="12.75" customHeight="1" x14ac:dyDescent="0.2">
      <c r="A68" s="129"/>
      <c r="B68" s="129"/>
      <c r="C68" s="143"/>
      <c r="D68" s="138"/>
      <c r="E68" s="129"/>
      <c r="F68" s="138"/>
      <c r="G68" s="138"/>
      <c r="H68" s="138"/>
      <c r="I68" s="138"/>
      <c r="J68" s="138"/>
      <c r="K68" s="130"/>
      <c r="L68" s="130"/>
      <c r="M68" s="130"/>
      <c r="N68" s="130"/>
      <c r="O68" s="130"/>
      <c r="P68" s="130"/>
      <c r="Q68" s="130"/>
      <c r="R68" s="130"/>
      <c r="S68" s="129"/>
      <c r="T68" s="129"/>
      <c r="U68" s="129"/>
      <c r="V68" s="130"/>
      <c r="W68" s="130"/>
      <c r="X68" s="130"/>
      <c r="Y68" s="130"/>
      <c r="Z68" s="152"/>
      <c r="AA68" s="130"/>
      <c r="AB68" s="130"/>
      <c r="AC68" s="130"/>
    </row>
    <row r="69" spans="1:29" ht="12.75" customHeight="1" x14ac:dyDescent="0.2">
      <c r="A69" s="129"/>
      <c r="B69" s="129"/>
      <c r="C69" s="143"/>
      <c r="D69" s="138"/>
      <c r="E69" s="129"/>
      <c r="F69" s="138"/>
      <c r="G69" s="138"/>
      <c r="H69" s="138"/>
      <c r="I69" s="138"/>
      <c r="J69" s="138"/>
      <c r="K69" s="130"/>
      <c r="L69" s="130"/>
      <c r="M69" s="130"/>
      <c r="N69" s="130"/>
      <c r="O69" s="130"/>
      <c r="P69" s="130"/>
      <c r="Q69" s="130"/>
      <c r="R69" s="130"/>
      <c r="S69" s="129"/>
      <c r="T69" s="129"/>
      <c r="U69" s="129"/>
      <c r="V69" s="130"/>
      <c r="W69" s="130"/>
      <c r="X69" s="130"/>
      <c r="Y69" s="130"/>
      <c r="Z69" s="152"/>
      <c r="AA69" s="130"/>
      <c r="AB69" s="130"/>
      <c r="AC69" s="130"/>
    </row>
    <row r="70" spans="1:29" ht="12.75" customHeight="1" x14ac:dyDescent="0.2">
      <c r="A70" s="129"/>
      <c r="B70" s="129"/>
      <c r="C70" s="143"/>
      <c r="D70" s="138"/>
      <c r="E70" s="129"/>
      <c r="F70" s="138"/>
      <c r="G70" s="138"/>
      <c r="H70" s="138"/>
      <c r="I70" s="138"/>
      <c r="J70" s="138"/>
      <c r="K70" s="130"/>
      <c r="L70" s="130"/>
      <c r="M70" s="130"/>
      <c r="N70" s="130"/>
      <c r="O70" s="130"/>
      <c r="P70" s="130"/>
      <c r="Q70" s="130"/>
      <c r="R70" s="130"/>
      <c r="S70" s="129"/>
      <c r="T70" s="129"/>
      <c r="U70" s="129"/>
      <c r="V70" s="130"/>
      <c r="W70" s="130"/>
      <c r="X70" s="130"/>
      <c r="Y70" s="130"/>
      <c r="Z70" s="152"/>
      <c r="AA70" s="130"/>
      <c r="AB70" s="130"/>
      <c r="AC70" s="130"/>
    </row>
    <row r="71" spans="1:29" ht="12.75" customHeight="1" x14ac:dyDescent="0.2">
      <c r="A71" s="129"/>
      <c r="B71" s="129"/>
      <c r="C71" s="143"/>
      <c r="D71" s="138"/>
      <c r="E71" s="129"/>
      <c r="F71" s="138"/>
      <c r="G71" s="138"/>
      <c r="H71" s="138"/>
      <c r="I71" s="138"/>
      <c r="J71" s="138"/>
      <c r="K71" s="130"/>
      <c r="L71" s="130"/>
      <c r="M71" s="130"/>
      <c r="N71" s="130"/>
      <c r="O71" s="130"/>
      <c r="P71" s="130"/>
      <c r="Q71" s="130"/>
      <c r="R71" s="130"/>
      <c r="S71" s="129"/>
      <c r="T71" s="129"/>
      <c r="U71" s="129"/>
      <c r="V71" s="130"/>
      <c r="W71" s="130"/>
      <c r="X71" s="130"/>
      <c r="Y71" s="130"/>
      <c r="Z71" s="152"/>
      <c r="AA71" s="130"/>
      <c r="AB71" s="130"/>
      <c r="AC71" s="130"/>
    </row>
    <row r="72" spans="1:29" ht="12.75" customHeight="1" x14ac:dyDescent="0.2">
      <c r="A72" s="129"/>
      <c r="B72" s="129"/>
      <c r="C72" s="143"/>
      <c r="D72" s="138"/>
      <c r="E72" s="129"/>
      <c r="F72" s="138"/>
      <c r="G72" s="138"/>
      <c r="H72" s="138"/>
      <c r="I72" s="138"/>
      <c r="J72" s="138"/>
      <c r="K72" s="130"/>
      <c r="L72" s="130"/>
      <c r="M72" s="130"/>
      <c r="N72" s="130"/>
      <c r="O72" s="130"/>
      <c r="P72" s="130"/>
      <c r="Q72" s="130"/>
      <c r="R72" s="130"/>
      <c r="S72" s="129"/>
      <c r="T72" s="129"/>
      <c r="U72" s="129"/>
      <c r="V72" s="130"/>
      <c r="W72" s="130"/>
      <c r="X72" s="130"/>
      <c r="Y72" s="130"/>
      <c r="Z72" s="152"/>
      <c r="AA72" s="130"/>
      <c r="AB72" s="130"/>
      <c r="AC72" s="130"/>
    </row>
    <row r="73" spans="1:29" ht="12.75" customHeight="1" x14ac:dyDescent="0.2">
      <c r="A73" s="129"/>
      <c r="B73" s="129"/>
      <c r="C73" s="143"/>
      <c r="D73" s="138"/>
      <c r="E73" s="129"/>
      <c r="F73" s="138"/>
      <c r="G73" s="138"/>
      <c r="H73" s="138"/>
      <c r="I73" s="138"/>
      <c r="J73" s="138"/>
      <c r="K73" s="130"/>
      <c r="L73" s="130"/>
      <c r="M73" s="130"/>
      <c r="N73" s="130"/>
      <c r="O73" s="130"/>
      <c r="P73" s="130"/>
      <c r="Q73" s="130"/>
      <c r="R73" s="130"/>
      <c r="S73" s="129"/>
      <c r="T73" s="129"/>
      <c r="U73" s="129"/>
      <c r="V73" s="130"/>
      <c r="W73" s="130"/>
      <c r="X73" s="130"/>
      <c r="Y73" s="130"/>
      <c r="Z73" s="152"/>
      <c r="AA73" s="130"/>
      <c r="AB73" s="130"/>
      <c r="AC73" s="130"/>
    </row>
    <row r="74" spans="1:29" ht="12.75" customHeight="1" x14ac:dyDescent="0.2">
      <c r="A74" s="129"/>
      <c r="B74" s="129"/>
      <c r="C74" s="143"/>
      <c r="D74" s="138"/>
      <c r="E74" s="129"/>
      <c r="F74" s="138"/>
      <c r="G74" s="138"/>
      <c r="H74" s="138"/>
      <c r="I74" s="138"/>
      <c r="J74" s="138"/>
      <c r="K74" s="130"/>
      <c r="L74" s="130"/>
      <c r="M74" s="130"/>
      <c r="N74" s="130"/>
      <c r="O74" s="130"/>
      <c r="P74" s="130"/>
      <c r="Q74" s="130"/>
      <c r="R74" s="130"/>
      <c r="S74" s="129"/>
      <c r="T74" s="129"/>
      <c r="U74" s="129"/>
      <c r="V74" s="130"/>
      <c r="W74" s="130"/>
      <c r="X74" s="130"/>
      <c r="Y74" s="130"/>
      <c r="Z74" s="152"/>
      <c r="AA74" s="130"/>
      <c r="AB74" s="130"/>
      <c r="AC74" s="130"/>
    </row>
    <row r="75" spans="1:29" ht="12.75" customHeight="1" x14ac:dyDescent="0.2">
      <c r="A75" s="129"/>
      <c r="B75" s="129"/>
      <c r="C75" s="143"/>
      <c r="D75" s="138"/>
      <c r="E75" s="129"/>
      <c r="F75" s="138"/>
      <c r="G75" s="138"/>
      <c r="H75" s="138"/>
      <c r="I75" s="138"/>
      <c r="J75" s="138"/>
      <c r="K75" s="130"/>
      <c r="L75" s="130"/>
      <c r="M75" s="130"/>
      <c r="N75" s="130"/>
      <c r="O75" s="130"/>
      <c r="P75" s="130"/>
      <c r="Q75" s="130"/>
      <c r="R75" s="130"/>
      <c r="S75" s="129"/>
      <c r="T75" s="129"/>
      <c r="U75" s="129"/>
      <c r="V75" s="130"/>
      <c r="W75" s="130"/>
      <c r="X75" s="130"/>
      <c r="Y75" s="130"/>
      <c r="Z75" s="152"/>
      <c r="AA75" s="130"/>
      <c r="AB75" s="130"/>
      <c r="AC75" s="130"/>
    </row>
    <row r="76" spans="1:29" ht="12.75" customHeight="1" x14ac:dyDescent="0.2">
      <c r="A76" s="129"/>
      <c r="B76" s="129"/>
      <c r="C76" s="143"/>
      <c r="D76" s="138"/>
      <c r="E76" s="129"/>
      <c r="F76" s="138"/>
      <c r="G76" s="138"/>
      <c r="H76" s="138"/>
      <c r="I76" s="138"/>
      <c r="J76" s="138"/>
      <c r="K76" s="130"/>
      <c r="L76" s="130"/>
      <c r="M76" s="130"/>
      <c r="N76" s="130"/>
      <c r="O76" s="130"/>
      <c r="P76" s="130"/>
      <c r="Q76" s="130"/>
      <c r="R76" s="130"/>
      <c r="S76" s="129"/>
      <c r="T76" s="129"/>
      <c r="U76" s="129"/>
      <c r="V76" s="130"/>
      <c r="W76" s="130"/>
      <c r="X76" s="130"/>
      <c r="Y76" s="130"/>
      <c r="Z76" s="152"/>
      <c r="AA76" s="130"/>
      <c r="AB76" s="130"/>
      <c r="AC76" s="130"/>
    </row>
    <row r="77" spans="1:29" ht="12.75" customHeight="1" x14ac:dyDescent="0.2">
      <c r="A77" s="129"/>
      <c r="B77" s="129"/>
      <c r="C77" s="143"/>
      <c r="D77" s="138"/>
      <c r="E77" s="129"/>
      <c r="F77" s="138"/>
      <c r="G77" s="138"/>
      <c r="H77" s="138"/>
      <c r="I77" s="138"/>
      <c r="J77" s="138"/>
      <c r="K77" s="130"/>
      <c r="L77" s="130"/>
      <c r="M77" s="130"/>
      <c r="N77" s="130"/>
      <c r="O77" s="130"/>
      <c r="P77" s="130"/>
      <c r="Q77" s="130"/>
      <c r="R77" s="130"/>
      <c r="S77" s="129"/>
      <c r="T77" s="129"/>
      <c r="U77" s="129"/>
      <c r="V77" s="130"/>
      <c r="W77" s="130"/>
      <c r="X77" s="130"/>
      <c r="Y77" s="130"/>
      <c r="Z77" s="152"/>
      <c r="AA77" s="130"/>
      <c r="AB77" s="130"/>
      <c r="AC77" s="130"/>
    </row>
    <row r="78" spans="1:29" ht="12.75" customHeight="1" x14ac:dyDescent="0.2">
      <c r="A78" s="129"/>
      <c r="B78" s="129"/>
      <c r="C78" s="143"/>
      <c r="D78" s="138"/>
      <c r="E78" s="129"/>
      <c r="F78" s="138"/>
      <c r="G78" s="138"/>
      <c r="H78" s="138"/>
      <c r="I78" s="138"/>
      <c r="J78" s="138"/>
      <c r="K78" s="130"/>
      <c r="L78" s="130"/>
      <c r="M78" s="130"/>
      <c r="N78" s="130"/>
      <c r="O78" s="130"/>
      <c r="P78" s="130"/>
      <c r="Q78" s="130"/>
      <c r="R78" s="130"/>
      <c r="S78" s="129"/>
      <c r="T78" s="129"/>
      <c r="U78" s="129"/>
      <c r="V78" s="130"/>
      <c r="W78" s="130"/>
      <c r="X78" s="130"/>
      <c r="Y78" s="130"/>
      <c r="Z78" s="152"/>
      <c r="AA78" s="130"/>
      <c r="AB78" s="130"/>
      <c r="AC78" s="130"/>
    </row>
    <row r="79" spans="1:29" ht="12.75" customHeight="1" x14ac:dyDescent="0.2">
      <c r="A79" s="129"/>
      <c r="B79" s="129"/>
      <c r="C79" s="143"/>
      <c r="D79" s="138"/>
      <c r="E79" s="129"/>
      <c r="F79" s="138"/>
      <c r="G79" s="138"/>
      <c r="H79" s="138"/>
      <c r="I79" s="138"/>
      <c r="J79" s="138"/>
      <c r="K79" s="130"/>
      <c r="L79" s="130"/>
      <c r="M79" s="130"/>
      <c r="N79" s="130"/>
      <c r="O79" s="130"/>
      <c r="P79" s="130"/>
      <c r="Q79" s="130"/>
      <c r="R79" s="130"/>
      <c r="S79" s="129"/>
      <c r="T79" s="129"/>
      <c r="U79" s="129"/>
      <c r="V79" s="130"/>
      <c r="W79" s="130"/>
      <c r="X79" s="130"/>
      <c r="Y79" s="130"/>
      <c r="Z79" s="152"/>
      <c r="AA79" s="130"/>
      <c r="AB79" s="130"/>
      <c r="AC79" s="130"/>
    </row>
    <row r="80" spans="1:29" ht="12.75" customHeight="1" x14ac:dyDescent="0.2">
      <c r="A80" s="129"/>
      <c r="B80" s="129"/>
      <c r="C80" s="143"/>
      <c r="D80" s="138"/>
      <c r="E80" s="129"/>
      <c r="F80" s="138"/>
      <c r="G80" s="138"/>
      <c r="H80" s="138"/>
      <c r="I80" s="138"/>
      <c r="J80" s="138"/>
      <c r="K80" s="130"/>
      <c r="L80" s="130"/>
      <c r="M80" s="130"/>
      <c r="N80" s="130"/>
      <c r="O80" s="130"/>
      <c r="P80" s="130"/>
      <c r="Q80" s="130"/>
      <c r="R80" s="130"/>
      <c r="S80" s="129"/>
      <c r="T80" s="129"/>
      <c r="U80" s="129"/>
      <c r="V80" s="130"/>
      <c r="W80" s="130"/>
      <c r="X80" s="130"/>
      <c r="Y80" s="130"/>
      <c r="Z80" s="152"/>
      <c r="AA80" s="130"/>
      <c r="AB80" s="130"/>
      <c r="AC80" s="130"/>
    </row>
    <row r="81" spans="1:29" ht="12.75" customHeight="1" x14ac:dyDescent="0.2">
      <c r="A81" s="129"/>
      <c r="B81" s="129"/>
      <c r="C81" s="143"/>
      <c r="D81" s="138"/>
      <c r="E81" s="129"/>
      <c r="F81" s="138"/>
      <c r="G81" s="138"/>
      <c r="H81" s="138"/>
      <c r="I81" s="138"/>
      <c r="J81" s="138"/>
      <c r="K81" s="130"/>
      <c r="L81" s="130"/>
      <c r="M81" s="130"/>
      <c r="N81" s="130"/>
      <c r="O81" s="130"/>
      <c r="P81" s="130"/>
      <c r="Q81" s="130"/>
      <c r="R81" s="130"/>
      <c r="S81" s="129"/>
      <c r="T81" s="129"/>
      <c r="U81" s="129"/>
      <c r="V81" s="130"/>
      <c r="W81" s="130"/>
      <c r="X81" s="130"/>
      <c r="Y81" s="130"/>
      <c r="Z81" s="152"/>
      <c r="AA81" s="130"/>
      <c r="AB81" s="130"/>
      <c r="AC81" s="130"/>
    </row>
    <row r="82" spans="1:29" ht="12.75" customHeight="1" x14ac:dyDescent="0.2">
      <c r="A82" s="129"/>
      <c r="B82" s="129"/>
      <c r="C82" s="143"/>
      <c r="D82" s="138"/>
      <c r="E82" s="129"/>
      <c r="F82" s="138"/>
      <c r="G82" s="138"/>
      <c r="H82" s="138"/>
      <c r="I82" s="138"/>
      <c r="J82" s="138"/>
      <c r="K82" s="130"/>
      <c r="L82" s="130"/>
      <c r="M82" s="130"/>
      <c r="N82" s="130"/>
      <c r="O82" s="130"/>
      <c r="P82" s="130"/>
      <c r="Q82" s="130"/>
      <c r="R82" s="130"/>
      <c r="S82" s="129"/>
      <c r="T82" s="129"/>
      <c r="U82" s="129"/>
      <c r="V82" s="130"/>
      <c r="W82" s="130"/>
      <c r="X82" s="130"/>
      <c r="Y82" s="130"/>
      <c r="Z82" s="152"/>
      <c r="AA82" s="130"/>
      <c r="AB82" s="130"/>
      <c r="AC82" s="130"/>
    </row>
    <row r="83" spans="1:29" ht="12.75" customHeight="1" x14ac:dyDescent="0.2">
      <c r="A83" s="129"/>
      <c r="B83" s="129"/>
      <c r="C83" s="143"/>
      <c r="D83" s="138"/>
      <c r="E83" s="129"/>
      <c r="F83" s="138"/>
      <c r="G83" s="138"/>
      <c r="H83" s="138"/>
      <c r="I83" s="138"/>
      <c r="J83" s="138"/>
      <c r="K83" s="130"/>
      <c r="L83" s="130"/>
      <c r="M83" s="130"/>
      <c r="N83" s="130"/>
      <c r="O83" s="130"/>
      <c r="P83" s="130"/>
      <c r="Q83" s="130"/>
      <c r="R83" s="130"/>
      <c r="S83" s="129"/>
      <c r="T83" s="129"/>
      <c r="U83" s="129"/>
      <c r="V83" s="130"/>
      <c r="W83" s="130"/>
      <c r="X83" s="130"/>
      <c r="Y83" s="130"/>
      <c r="Z83" s="152"/>
      <c r="AA83" s="130"/>
      <c r="AB83" s="130"/>
      <c r="AC83" s="130"/>
    </row>
    <row r="84" spans="1:29" ht="12.75" customHeight="1" x14ac:dyDescent="0.2">
      <c r="A84" s="129"/>
      <c r="B84" s="129"/>
      <c r="C84" s="143"/>
      <c r="D84" s="138"/>
      <c r="E84" s="129"/>
      <c r="F84" s="138"/>
      <c r="G84" s="138"/>
      <c r="H84" s="138"/>
      <c r="I84" s="138"/>
      <c r="J84" s="138"/>
      <c r="K84" s="130"/>
      <c r="L84" s="130"/>
      <c r="M84" s="130"/>
      <c r="N84" s="130"/>
      <c r="O84" s="130"/>
      <c r="P84" s="130"/>
      <c r="Q84" s="130"/>
      <c r="R84" s="130"/>
      <c r="S84" s="129"/>
      <c r="T84" s="129"/>
      <c r="U84" s="129"/>
      <c r="V84" s="130"/>
      <c r="W84" s="130"/>
      <c r="X84" s="130"/>
      <c r="Y84" s="130"/>
      <c r="Z84" s="152"/>
      <c r="AA84" s="130"/>
      <c r="AB84" s="130"/>
      <c r="AC84" s="130"/>
    </row>
    <row r="85" spans="1:29" ht="12.75" customHeight="1" x14ac:dyDescent="0.2">
      <c r="A85" s="129"/>
      <c r="B85" s="129"/>
      <c r="C85" s="143"/>
      <c r="D85" s="138"/>
      <c r="E85" s="129"/>
      <c r="F85" s="138"/>
      <c r="G85" s="138"/>
      <c r="H85" s="138"/>
      <c r="I85" s="138"/>
      <c r="J85" s="138"/>
      <c r="K85" s="130"/>
      <c r="L85" s="130"/>
      <c r="M85" s="130"/>
      <c r="N85" s="130"/>
      <c r="O85" s="130"/>
      <c r="P85" s="130"/>
      <c r="Q85" s="130"/>
      <c r="R85" s="130"/>
      <c r="S85" s="129"/>
      <c r="T85" s="129"/>
      <c r="U85" s="129"/>
      <c r="V85" s="130"/>
      <c r="W85" s="130"/>
      <c r="X85" s="130"/>
      <c r="Y85" s="130"/>
      <c r="Z85" s="152"/>
      <c r="AA85" s="130"/>
      <c r="AB85" s="130"/>
      <c r="AC85" s="130"/>
    </row>
    <row r="86" spans="1:29" ht="12.75" customHeight="1" x14ac:dyDescent="0.2">
      <c r="A86" s="129"/>
      <c r="B86" s="129"/>
      <c r="C86" s="143"/>
      <c r="D86" s="138"/>
      <c r="E86" s="129"/>
      <c r="F86" s="138"/>
      <c r="G86" s="138"/>
      <c r="H86" s="138"/>
      <c r="I86" s="138"/>
      <c r="J86" s="138"/>
      <c r="K86" s="130"/>
      <c r="L86" s="130"/>
      <c r="M86" s="130"/>
      <c r="N86" s="130"/>
      <c r="O86" s="130"/>
      <c r="P86" s="130"/>
      <c r="Q86" s="130"/>
      <c r="R86" s="130"/>
      <c r="S86" s="129"/>
      <c r="T86" s="129"/>
      <c r="U86" s="129"/>
      <c r="V86" s="130"/>
      <c r="W86" s="130"/>
      <c r="X86" s="130"/>
      <c r="Y86" s="130"/>
      <c r="Z86" s="152"/>
      <c r="AA86" s="130"/>
      <c r="AB86" s="130"/>
      <c r="AC86" s="130"/>
    </row>
    <row r="87" spans="1:29" ht="12.75" customHeight="1" x14ac:dyDescent="0.2">
      <c r="A87" s="129"/>
      <c r="B87" s="129"/>
      <c r="C87" s="143"/>
      <c r="D87" s="138"/>
      <c r="E87" s="129"/>
      <c r="F87" s="138"/>
      <c r="G87" s="138"/>
      <c r="H87" s="138"/>
      <c r="I87" s="138"/>
      <c r="J87" s="138"/>
      <c r="K87" s="130"/>
      <c r="L87" s="130"/>
      <c r="M87" s="130"/>
      <c r="N87" s="130"/>
      <c r="O87" s="130"/>
      <c r="P87" s="130"/>
      <c r="Q87" s="130"/>
      <c r="R87" s="130"/>
      <c r="S87" s="129"/>
      <c r="T87" s="129"/>
      <c r="U87" s="129"/>
      <c r="V87" s="130"/>
      <c r="W87" s="130"/>
      <c r="X87" s="130"/>
      <c r="Y87" s="130"/>
      <c r="Z87" s="152"/>
      <c r="AA87" s="130"/>
      <c r="AB87" s="130"/>
      <c r="AC87" s="130"/>
    </row>
    <row r="88" spans="1:29" ht="12.75" customHeight="1" x14ac:dyDescent="0.2">
      <c r="A88" s="129"/>
      <c r="B88" s="129"/>
      <c r="C88" s="143"/>
      <c r="D88" s="138"/>
      <c r="E88" s="129"/>
      <c r="F88" s="138"/>
      <c r="G88" s="138"/>
      <c r="H88" s="138"/>
      <c r="I88" s="138"/>
      <c r="J88" s="138"/>
      <c r="K88" s="130"/>
      <c r="L88" s="130"/>
      <c r="M88" s="130"/>
      <c r="N88" s="130"/>
      <c r="O88" s="130"/>
      <c r="P88" s="130"/>
      <c r="Q88" s="130"/>
      <c r="R88" s="130"/>
      <c r="S88" s="129"/>
      <c r="T88" s="129"/>
      <c r="U88" s="129"/>
      <c r="V88" s="130"/>
      <c r="W88" s="130"/>
      <c r="X88" s="130"/>
      <c r="Y88" s="130"/>
      <c r="Z88" s="152"/>
      <c r="AA88" s="130"/>
      <c r="AB88" s="130"/>
      <c r="AC88" s="130"/>
    </row>
    <row r="89" spans="1:29" ht="12.75" customHeight="1" x14ac:dyDescent="0.2">
      <c r="A89" s="129"/>
      <c r="B89" s="129"/>
      <c r="C89" s="143"/>
      <c r="D89" s="138"/>
      <c r="E89" s="129"/>
      <c r="F89" s="138"/>
      <c r="G89" s="138"/>
      <c r="H89" s="138"/>
      <c r="I89" s="138"/>
      <c r="J89" s="138"/>
      <c r="K89" s="130"/>
      <c r="L89" s="130"/>
      <c r="M89" s="130"/>
      <c r="N89" s="130"/>
      <c r="O89" s="130"/>
      <c r="P89" s="130"/>
      <c r="Q89" s="130"/>
      <c r="R89" s="130"/>
      <c r="S89" s="129"/>
      <c r="T89" s="129"/>
      <c r="U89" s="129"/>
      <c r="V89" s="130"/>
      <c r="W89" s="130"/>
      <c r="X89" s="130"/>
      <c r="Y89" s="130"/>
      <c r="Z89" s="152"/>
      <c r="AA89" s="130"/>
      <c r="AB89" s="130"/>
      <c r="AC89" s="130"/>
    </row>
    <row r="90" spans="1:29" ht="12.75" customHeight="1" x14ac:dyDescent="0.2">
      <c r="A90" s="129"/>
      <c r="B90" s="129"/>
      <c r="C90" s="143"/>
      <c r="D90" s="138"/>
      <c r="E90" s="129"/>
      <c r="F90" s="138"/>
      <c r="G90" s="138"/>
      <c r="H90" s="138"/>
      <c r="I90" s="138"/>
      <c r="J90" s="138"/>
      <c r="K90" s="130"/>
      <c r="L90" s="130"/>
      <c r="M90" s="130"/>
      <c r="N90" s="130"/>
      <c r="O90" s="130"/>
      <c r="P90" s="130"/>
      <c r="Q90" s="130"/>
      <c r="R90" s="130"/>
      <c r="S90" s="129"/>
      <c r="T90" s="129"/>
      <c r="U90" s="129"/>
      <c r="V90" s="130"/>
      <c r="W90" s="130"/>
      <c r="X90" s="130"/>
      <c r="Y90" s="130"/>
      <c r="Z90" s="152"/>
      <c r="AA90" s="130"/>
      <c r="AB90" s="130"/>
      <c r="AC90" s="130"/>
    </row>
    <row r="91" spans="1:29" ht="12.75" customHeight="1" x14ac:dyDescent="0.2">
      <c r="A91" s="129"/>
      <c r="B91" s="129"/>
      <c r="C91" s="143"/>
      <c r="D91" s="138"/>
      <c r="E91" s="129"/>
      <c r="F91" s="138"/>
      <c r="G91" s="138"/>
      <c r="H91" s="138"/>
      <c r="I91" s="138"/>
      <c r="J91" s="138"/>
      <c r="K91" s="130"/>
      <c r="L91" s="130"/>
      <c r="M91" s="130"/>
      <c r="N91" s="130"/>
      <c r="O91" s="130"/>
      <c r="P91" s="130"/>
      <c r="Q91" s="130"/>
      <c r="R91" s="130"/>
      <c r="S91" s="129"/>
      <c r="T91" s="129"/>
      <c r="U91" s="129"/>
      <c r="V91" s="130"/>
      <c r="W91" s="130"/>
      <c r="X91" s="130"/>
      <c r="Y91" s="130"/>
      <c r="Z91" s="152"/>
      <c r="AA91" s="130"/>
      <c r="AB91" s="130"/>
      <c r="AC91" s="130"/>
    </row>
    <row r="92" spans="1:29" ht="12.75" customHeight="1" x14ac:dyDescent="0.2">
      <c r="A92" s="129"/>
      <c r="B92" s="129"/>
      <c r="C92" s="143"/>
      <c r="D92" s="138"/>
      <c r="E92" s="129"/>
      <c r="F92" s="138"/>
      <c r="G92" s="138"/>
      <c r="H92" s="138"/>
      <c r="I92" s="138"/>
      <c r="J92" s="138"/>
      <c r="K92" s="130"/>
      <c r="L92" s="130"/>
      <c r="M92" s="130"/>
      <c r="N92" s="130"/>
      <c r="O92" s="130"/>
      <c r="P92" s="130"/>
      <c r="Q92" s="130"/>
      <c r="R92" s="130"/>
      <c r="S92" s="129"/>
      <c r="T92" s="129"/>
      <c r="U92" s="129"/>
      <c r="V92" s="130"/>
      <c r="W92" s="130"/>
      <c r="X92" s="130"/>
      <c r="Y92" s="130"/>
      <c r="Z92" s="152"/>
      <c r="AA92" s="130"/>
      <c r="AB92" s="130"/>
      <c r="AC92" s="130"/>
    </row>
    <row r="93" spans="1:29" ht="12.75" customHeight="1" x14ac:dyDescent="0.2">
      <c r="A93" s="129"/>
      <c r="B93" s="129"/>
      <c r="C93" s="143"/>
      <c r="D93" s="138"/>
      <c r="E93" s="129"/>
      <c r="F93" s="138"/>
      <c r="G93" s="138"/>
      <c r="H93" s="138"/>
      <c r="I93" s="138"/>
      <c r="J93" s="138"/>
      <c r="K93" s="130"/>
      <c r="L93" s="130"/>
      <c r="M93" s="130"/>
      <c r="N93" s="130"/>
      <c r="O93" s="130"/>
      <c r="P93" s="130"/>
      <c r="Q93" s="130"/>
      <c r="R93" s="130"/>
      <c r="S93" s="129"/>
      <c r="T93" s="129"/>
      <c r="U93" s="129"/>
      <c r="V93" s="130"/>
      <c r="W93" s="130"/>
      <c r="X93" s="130"/>
      <c r="Y93" s="130"/>
      <c r="Z93" s="152"/>
      <c r="AA93" s="130"/>
      <c r="AB93" s="130"/>
      <c r="AC93" s="130"/>
    </row>
    <row r="94" spans="1:29" ht="12.75" customHeight="1" x14ac:dyDescent="0.2">
      <c r="A94" s="129"/>
      <c r="B94" s="129"/>
      <c r="C94" s="143"/>
      <c r="D94" s="138"/>
      <c r="E94" s="129"/>
      <c r="F94" s="138"/>
      <c r="G94" s="138"/>
      <c r="H94" s="138"/>
      <c r="I94" s="138"/>
      <c r="J94" s="138"/>
      <c r="K94" s="130"/>
      <c r="L94" s="130"/>
      <c r="M94" s="130"/>
      <c r="N94" s="130"/>
      <c r="O94" s="130"/>
      <c r="P94" s="130"/>
      <c r="Q94" s="130"/>
      <c r="R94" s="130"/>
      <c r="S94" s="129"/>
      <c r="T94" s="129"/>
      <c r="U94" s="129"/>
      <c r="V94" s="130"/>
      <c r="W94" s="130"/>
      <c r="X94" s="130"/>
      <c r="Y94" s="130"/>
      <c r="Z94" s="152"/>
      <c r="AA94" s="130"/>
      <c r="AB94" s="130"/>
      <c r="AC94" s="130"/>
    </row>
    <row r="95" spans="1:29" ht="12.75" customHeight="1" x14ac:dyDescent="0.2">
      <c r="A95" s="129"/>
      <c r="B95" s="129"/>
      <c r="C95" s="143"/>
      <c r="D95" s="138"/>
      <c r="E95" s="129"/>
      <c r="F95" s="138"/>
      <c r="G95" s="138"/>
      <c r="H95" s="138"/>
      <c r="I95" s="138"/>
      <c r="J95" s="138"/>
      <c r="K95" s="130"/>
      <c r="L95" s="130"/>
      <c r="M95" s="130"/>
      <c r="N95" s="130"/>
      <c r="O95" s="130"/>
      <c r="P95" s="130"/>
      <c r="Q95" s="130"/>
      <c r="R95" s="130"/>
      <c r="S95" s="129"/>
      <c r="T95" s="129"/>
      <c r="U95" s="129"/>
      <c r="V95" s="130"/>
      <c r="W95" s="130"/>
      <c r="X95" s="130"/>
      <c r="Y95" s="130"/>
      <c r="Z95" s="152"/>
      <c r="AA95" s="130"/>
      <c r="AB95" s="130"/>
      <c r="AC95" s="130"/>
    </row>
    <row r="96" spans="1:29" ht="12.75" customHeight="1" x14ac:dyDescent="0.2">
      <c r="A96" s="129"/>
      <c r="B96" s="129"/>
      <c r="C96" s="143"/>
      <c r="D96" s="138"/>
      <c r="E96" s="129"/>
      <c r="F96" s="138"/>
      <c r="G96" s="138"/>
      <c r="H96" s="138"/>
      <c r="I96" s="138"/>
      <c r="J96" s="138"/>
      <c r="K96" s="130"/>
      <c r="L96" s="130"/>
      <c r="M96" s="130"/>
      <c r="N96" s="130"/>
      <c r="O96" s="130"/>
      <c r="P96" s="130"/>
      <c r="Q96" s="130"/>
      <c r="R96" s="130"/>
      <c r="S96" s="129"/>
      <c r="T96" s="129"/>
      <c r="U96" s="129"/>
      <c r="V96" s="130"/>
      <c r="W96" s="130"/>
      <c r="X96" s="130"/>
      <c r="Y96" s="130"/>
      <c r="Z96" s="152"/>
      <c r="AA96" s="130"/>
      <c r="AB96" s="130"/>
      <c r="AC96" s="130"/>
    </row>
    <row r="97" spans="1:29" ht="12.75" customHeight="1" x14ac:dyDescent="0.2">
      <c r="A97" s="129"/>
      <c r="B97" s="129"/>
      <c r="C97" s="143"/>
      <c r="D97" s="138"/>
      <c r="E97" s="129"/>
      <c r="F97" s="138"/>
      <c r="G97" s="138"/>
      <c r="H97" s="138"/>
      <c r="I97" s="138"/>
      <c r="J97" s="138"/>
      <c r="K97" s="130"/>
      <c r="L97" s="130"/>
      <c r="M97" s="130"/>
      <c r="N97" s="130"/>
      <c r="O97" s="130"/>
      <c r="P97" s="130"/>
      <c r="Q97" s="130"/>
      <c r="R97" s="130"/>
      <c r="S97" s="129"/>
      <c r="T97" s="129"/>
      <c r="U97" s="129"/>
      <c r="V97" s="130"/>
      <c r="W97" s="130"/>
      <c r="X97" s="130"/>
      <c r="Y97" s="130"/>
      <c r="Z97" s="152"/>
      <c r="AA97" s="130"/>
      <c r="AB97" s="130"/>
      <c r="AC97" s="130"/>
    </row>
    <row r="98" spans="1:29" ht="12.75" customHeight="1" x14ac:dyDescent="0.2">
      <c r="A98" s="129"/>
      <c r="B98" s="129"/>
      <c r="C98" s="143"/>
      <c r="D98" s="138"/>
      <c r="E98" s="129"/>
      <c r="F98" s="138"/>
      <c r="G98" s="138"/>
      <c r="H98" s="138"/>
      <c r="I98" s="138"/>
      <c r="J98" s="138"/>
      <c r="K98" s="130"/>
      <c r="L98" s="130"/>
      <c r="M98" s="130"/>
      <c r="N98" s="130"/>
      <c r="O98" s="130"/>
      <c r="P98" s="130"/>
      <c r="Q98" s="130"/>
      <c r="R98" s="130"/>
      <c r="S98" s="129"/>
      <c r="T98" s="129"/>
      <c r="U98" s="129"/>
      <c r="V98" s="130"/>
      <c r="W98" s="130"/>
      <c r="X98" s="130"/>
      <c r="Y98" s="130"/>
      <c r="Z98" s="152"/>
      <c r="AA98" s="130"/>
      <c r="AB98" s="130"/>
      <c r="AC98" s="130"/>
    </row>
    <row r="99" spans="1:29" ht="12.75" customHeight="1" x14ac:dyDescent="0.2">
      <c r="A99" s="129"/>
      <c r="B99" s="129"/>
      <c r="C99" s="143"/>
      <c r="D99" s="138"/>
      <c r="E99" s="129"/>
      <c r="F99" s="138"/>
      <c r="G99" s="138"/>
      <c r="H99" s="138"/>
      <c r="I99" s="138"/>
      <c r="J99" s="138"/>
      <c r="K99" s="130"/>
      <c r="L99" s="130"/>
      <c r="M99" s="130"/>
      <c r="N99" s="130"/>
      <c r="O99" s="130"/>
      <c r="P99" s="130"/>
      <c r="Q99" s="130"/>
      <c r="R99" s="130"/>
      <c r="S99" s="129"/>
      <c r="T99" s="129"/>
      <c r="U99" s="129"/>
      <c r="V99" s="130"/>
      <c r="W99" s="130"/>
      <c r="X99" s="130"/>
      <c r="Y99" s="130"/>
      <c r="Z99" s="152"/>
      <c r="AA99" s="130"/>
      <c r="AB99" s="130"/>
      <c r="AC99" s="130"/>
    </row>
    <row r="100" spans="1:29" ht="12.75" customHeight="1" x14ac:dyDescent="0.2">
      <c r="A100" s="129"/>
      <c r="B100" s="129"/>
      <c r="C100" s="143"/>
      <c r="D100" s="138"/>
      <c r="E100" s="129"/>
      <c r="F100" s="138"/>
      <c r="G100" s="138"/>
      <c r="H100" s="138"/>
      <c r="I100" s="138"/>
      <c r="J100" s="138"/>
      <c r="K100" s="130"/>
      <c r="L100" s="130"/>
      <c r="M100" s="130"/>
      <c r="N100" s="130"/>
      <c r="O100" s="130"/>
      <c r="P100" s="130"/>
      <c r="Q100" s="130"/>
      <c r="R100" s="130"/>
      <c r="S100" s="129"/>
      <c r="T100" s="129"/>
      <c r="U100" s="129"/>
      <c r="V100" s="130"/>
      <c r="W100" s="130"/>
      <c r="X100" s="130"/>
      <c r="Y100" s="130"/>
      <c r="Z100" s="152"/>
      <c r="AA100" s="130"/>
      <c r="AB100" s="130"/>
      <c r="AC100" s="130"/>
    </row>
    <row r="101" spans="1:29" ht="12.75" customHeight="1" x14ac:dyDescent="0.2">
      <c r="A101" s="129"/>
      <c r="B101" s="129"/>
      <c r="C101" s="143"/>
      <c r="D101" s="138"/>
      <c r="E101" s="129"/>
      <c r="F101" s="138"/>
      <c r="G101" s="138"/>
      <c r="H101" s="138"/>
      <c r="I101" s="138"/>
      <c r="J101" s="138"/>
      <c r="K101" s="130"/>
      <c r="L101" s="130"/>
      <c r="M101" s="130"/>
      <c r="N101" s="130"/>
      <c r="O101" s="130"/>
      <c r="P101" s="130"/>
      <c r="Q101" s="130"/>
      <c r="R101" s="130"/>
      <c r="S101" s="129"/>
      <c r="T101" s="129"/>
      <c r="U101" s="129"/>
      <c r="V101" s="130"/>
      <c r="W101" s="130"/>
      <c r="X101" s="130"/>
      <c r="Y101" s="130"/>
      <c r="Z101" s="152"/>
      <c r="AA101" s="130"/>
      <c r="AB101" s="130"/>
      <c r="AC101" s="130"/>
    </row>
    <row r="102" spans="1:29" ht="12.75" customHeight="1" x14ac:dyDescent="0.2">
      <c r="A102" s="129"/>
      <c r="B102" s="129"/>
      <c r="C102" s="143"/>
      <c r="D102" s="138"/>
      <c r="E102" s="129"/>
      <c r="F102" s="138"/>
      <c r="G102" s="138"/>
      <c r="H102" s="138"/>
      <c r="I102" s="138"/>
      <c r="J102" s="138"/>
      <c r="K102" s="130"/>
      <c r="L102" s="130"/>
      <c r="M102" s="130"/>
      <c r="N102" s="130"/>
      <c r="O102" s="130"/>
      <c r="P102" s="130"/>
      <c r="Q102" s="130"/>
      <c r="R102" s="130"/>
      <c r="S102" s="129"/>
      <c r="T102" s="129"/>
      <c r="U102" s="129"/>
      <c r="V102" s="130"/>
      <c r="W102" s="130"/>
      <c r="X102" s="130"/>
      <c r="Y102" s="130"/>
      <c r="Z102" s="152"/>
      <c r="AA102" s="130"/>
      <c r="AB102" s="130"/>
      <c r="AC102" s="130"/>
    </row>
    <row r="103" spans="1:29" ht="12.75" customHeight="1" x14ac:dyDescent="0.2">
      <c r="A103" s="129"/>
      <c r="B103" s="129"/>
      <c r="C103" s="143"/>
      <c r="D103" s="138"/>
      <c r="E103" s="129"/>
      <c r="F103" s="138"/>
      <c r="G103" s="138"/>
      <c r="H103" s="138"/>
      <c r="I103" s="138"/>
      <c r="J103" s="138"/>
      <c r="K103" s="130"/>
      <c r="L103" s="130"/>
      <c r="M103" s="130"/>
      <c r="N103" s="130"/>
      <c r="O103" s="130"/>
      <c r="P103" s="130"/>
      <c r="Q103" s="130"/>
      <c r="R103" s="130"/>
      <c r="S103" s="129"/>
      <c r="T103" s="129"/>
      <c r="U103" s="129"/>
      <c r="V103" s="130"/>
      <c r="W103" s="130"/>
      <c r="X103" s="130"/>
      <c r="Y103" s="130"/>
      <c r="Z103" s="152"/>
      <c r="AA103" s="130"/>
      <c r="AB103" s="130"/>
      <c r="AC103" s="130"/>
    </row>
    <row r="104" spans="1:29" ht="12.75" customHeight="1" x14ac:dyDescent="0.2">
      <c r="A104" s="129"/>
      <c r="B104" s="129"/>
      <c r="C104" s="143"/>
      <c r="D104" s="138"/>
      <c r="E104" s="129"/>
      <c r="F104" s="138"/>
      <c r="G104" s="138"/>
      <c r="H104" s="138"/>
      <c r="I104" s="138"/>
      <c r="J104" s="138"/>
      <c r="K104" s="130"/>
      <c r="L104" s="130"/>
      <c r="M104" s="130"/>
      <c r="N104" s="130"/>
      <c r="O104" s="130"/>
      <c r="P104" s="130"/>
      <c r="Q104" s="130"/>
      <c r="R104" s="130"/>
      <c r="S104" s="129"/>
      <c r="T104" s="129"/>
      <c r="U104" s="129"/>
      <c r="V104" s="130"/>
      <c r="W104" s="130"/>
      <c r="X104" s="130"/>
      <c r="Y104" s="130"/>
      <c r="Z104" s="152"/>
      <c r="AA104" s="130"/>
      <c r="AB104" s="130"/>
      <c r="AC104" s="130"/>
    </row>
    <row r="105" spans="1:29" ht="12.75" customHeight="1" x14ac:dyDescent="0.2">
      <c r="A105" s="129"/>
      <c r="B105" s="129"/>
      <c r="C105" s="143"/>
      <c r="D105" s="138"/>
      <c r="E105" s="129"/>
      <c r="F105" s="138"/>
      <c r="G105" s="138"/>
      <c r="H105" s="138"/>
      <c r="I105" s="138"/>
      <c r="J105" s="138"/>
      <c r="K105" s="130"/>
      <c r="L105" s="130"/>
      <c r="M105" s="130"/>
      <c r="N105" s="130"/>
      <c r="O105" s="130"/>
      <c r="P105" s="130"/>
      <c r="Q105" s="130"/>
      <c r="R105" s="130"/>
      <c r="S105" s="129"/>
      <c r="T105" s="129"/>
      <c r="U105" s="129"/>
      <c r="V105" s="130"/>
      <c r="W105" s="130"/>
      <c r="X105" s="130"/>
      <c r="Y105" s="130"/>
      <c r="Z105" s="152"/>
      <c r="AA105" s="130"/>
      <c r="AB105" s="130"/>
      <c r="AC105" s="130"/>
    </row>
    <row r="106" spans="1:29" ht="12.75" customHeight="1" x14ac:dyDescent="0.2">
      <c r="A106" s="129"/>
      <c r="B106" s="129"/>
      <c r="C106" s="143"/>
      <c r="D106" s="138"/>
      <c r="E106" s="129"/>
      <c r="F106" s="138"/>
      <c r="G106" s="138"/>
      <c r="H106" s="138"/>
      <c r="I106" s="138"/>
      <c r="J106" s="138"/>
      <c r="K106" s="130"/>
      <c r="L106" s="130"/>
      <c r="M106" s="130"/>
      <c r="N106" s="130"/>
      <c r="O106" s="130"/>
      <c r="P106" s="130"/>
      <c r="Q106" s="130"/>
      <c r="R106" s="130"/>
      <c r="S106" s="129"/>
      <c r="T106" s="129"/>
      <c r="U106" s="129"/>
      <c r="V106" s="130"/>
      <c r="W106" s="130"/>
      <c r="X106" s="130"/>
      <c r="Y106" s="130"/>
      <c r="Z106" s="152"/>
      <c r="AA106" s="130"/>
      <c r="AB106" s="130"/>
      <c r="AC106" s="130"/>
    </row>
    <row r="107" spans="1:29" ht="12.75" customHeight="1" x14ac:dyDescent="0.2">
      <c r="A107" s="129"/>
      <c r="B107" s="129"/>
      <c r="C107" s="143"/>
      <c r="D107" s="138"/>
      <c r="E107" s="129"/>
      <c r="F107" s="138"/>
      <c r="G107" s="138"/>
      <c r="H107" s="138"/>
      <c r="I107" s="138"/>
      <c r="J107" s="138"/>
      <c r="K107" s="130"/>
      <c r="L107" s="130"/>
      <c r="M107" s="130"/>
      <c r="N107" s="130"/>
      <c r="O107" s="130"/>
      <c r="P107" s="130"/>
      <c r="Q107" s="130"/>
      <c r="R107" s="130"/>
      <c r="S107" s="129"/>
      <c r="T107" s="129"/>
      <c r="U107" s="129"/>
      <c r="V107" s="130"/>
      <c r="W107" s="130"/>
      <c r="X107" s="130"/>
      <c r="Y107" s="130"/>
      <c r="Z107" s="152"/>
      <c r="AA107" s="130"/>
      <c r="AB107" s="130"/>
      <c r="AC107" s="130"/>
    </row>
    <row r="108" spans="1:29" ht="12.75" customHeight="1" x14ac:dyDescent="0.2">
      <c r="A108" s="129"/>
      <c r="B108" s="129"/>
      <c r="C108" s="143"/>
      <c r="D108" s="138"/>
      <c r="E108" s="129"/>
      <c r="F108" s="138"/>
      <c r="G108" s="138"/>
      <c r="H108" s="138"/>
      <c r="I108" s="138"/>
      <c r="J108" s="138"/>
      <c r="K108" s="130"/>
      <c r="L108" s="130"/>
      <c r="M108" s="130"/>
      <c r="N108" s="130"/>
      <c r="O108" s="130"/>
      <c r="P108" s="130"/>
      <c r="Q108" s="130"/>
      <c r="R108" s="130"/>
      <c r="S108" s="129"/>
      <c r="T108" s="129"/>
      <c r="U108" s="129"/>
      <c r="V108" s="130"/>
      <c r="W108" s="130"/>
      <c r="X108" s="130"/>
      <c r="Y108" s="130"/>
      <c r="Z108" s="152"/>
      <c r="AA108" s="130"/>
      <c r="AB108" s="130"/>
      <c r="AC108" s="130"/>
    </row>
    <row r="109" spans="1:29" ht="12.75" customHeight="1" x14ac:dyDescent="0.2">
      <c r="A109" s="129"/>
      <c r="B109" s="129"/>
      <c r="C109" s="143"/>
      <c r="D109" s="138"/>
      <c r="E109" s="129"/>
      <c r="F109" s="138"/>
      <c r="G109" s="138"/>
      <c r="H109" s="138"/>
      <c r="I109" s="138"/>
      <c r="J109" s="138"/>
      <c r="K109" s="130"/>
      <c r="L109" s="130"/>
      <c r="M109" s="130"/>
      <c r="N109" s="130"/>
      <c r="O109" s="130"/>
      <c r="P109" s="130"/>
      <c r="Q109" s="130"/>
      <c r="R109" s="130"/>
      <c r="S109" s="129"/>
      <c r="T109" s="129"/>
      <c r="U109" s="129"/>
      <c r="V109" s="130"/>
      <c r="W109" s="130"/>
      <c r="X109" s="130"/>
      <c r="Y109" s="130"/>
      <c r="Z109" s="152"/>
      <c r="AA109" s="130"/>
      <c r="AB109" s="130"/>
      <c r="AC109" s="130"/>
    </row>
    <row r="110" spans="1:29" ht="12.75" customHeight="1" x14ac:dyDescent="0.2">
      <c r="A110" s="129"/>
      <c r="B110" s="129"/>
      <c r="C110" s="143"/>
      <c r="D110" s="138"/>
      <c r="E110" s="129"/>
      <c r="F110" s="138"/>
      <c r="G110" s="138"/>
      <c r="H110" s="138"/>
      <c r="I110" s="138"/>
      <c r="J110" s="138"/>
      <c r="K110" s="130"/>
      <c r="L110" s="130"/>
      <c r="M110" s="130"/>
      <c r="N110" s="130"/>
      <c r="O110" s="130"/>
      <c r="P110" s="130"/>
      <c r="Q110" s="130"/>
      <c r="R110" s="130"/>
      <c r="S110" s="129"/>
      <c r="T110" s="129"/>
      <c r="U110" s="129"/>
      <c r="V110" s="130"/>
      <c r="W110" s="130"/>
      <c r="X110" s="130"/>
      <c r="Y110" s="130"/>
      <c r="Z110" s="152"/>
      <c r="AA110" s="130"/>
      <c r="AB110" s="130"/>
      <c r="AC110" s="130"/>
    </row>
    <row r="111" spans="1:29" ht="12.75" customHeight="1" x14ac:dyDescent="0.2">
      <c r="A111" s="129"/>
      <c r="B111" s="129"/>
      <c r="C111" s="143"/>
      <c r="D111" s="138"/>
      <c r="E111" s="129"/>
      <c r="F111" s="138"/>
      <c r="G111" s="138"/>
      <c r="H111" s="138"/>
      <c r="I111" s="138"/>
      <c r="J111" s="138"/>
      <c r="K111" s="130"/>
      <c r="L111" s="130"/>
      <c r="M111" s="130"/>
      <c r="N111" s="130"/>
      <c r="O111" s="130"/>
      <c r="P111" s="130"/>
      <c r="Q111" s="130"/>
      <c r="R111" s="130"/>
      <c r="S111" s="129"/>
      <c r="T111" s="129"/>
      <c r="U111" s="129"/>
      <c r="V111" s="130"/>
      <c r="W111" s="130"/>
      <c r="X111" s="130"/>
      <c r="Y111" s="130"/>
      <c r="Z111" s="152"/>
      <c r="AA111" s="130"/>
      <c r="AB111" s="130"/>
      <c r="AC111" s="130"/>
    </row>
    <row r="112" spans="1:29" ht="12.75" customHeight="1" x14ac:dyDescent="0.2">
      <c r="A112" s="129"/>
      <c r="B112" s="129"/>
      <c r="C112" s="143"/>
      <c r="D112" s="138"/>
      <c r="E112" s="129"/>
      <c r="F112" s="138"/>
      <c r="G112" s="138"/>
      <c r="H112" s="138"/>
      <c r="I112" s="138"/>
      <c r="J112" s="138"/>
      <c r="K112" s="130"/>
      <c r="L112" s="130"/>
      <c r="M112" s="130"/>
      <c r="N112" s="130"/>
      <c r="O112" s="130"/>
      <c r="P112" s="130"/>
      <c r="Q112" s="130"/>
      <c r="R112" s="130"/>
      <c r="S112" s="129"/>
      <c r="T112" s="129"/>
      <c r="U112" s="129"/>
      <c r="V112" s="130"/>
      <c r="W112" s="130"/>
      <c r="X112" s="130"/>
      <c r="Y112" s="130"/>
      <c r="Z112" s="152"/>
      <c r="AA112" s="130"/>
      <c r="AB112" s="130"/>
      <c r="AC112" s="130"/>
    </row>
    <row r="113" spans="1:29" ht="12.75" customHeight="1" x14ac:dyDescent="0.2">
      <c r="A113" s="129"/>
      <c r="B113" s="129"/>
      <c r="C113" s="143"/>
      <c r="D113" s="138"/>
      <c r="E113" s="129"/>
      <c r="F113" s="138"/>
      <c r="G113" s="138"/>
      <c r="H113" s="138"/>
      <c r="I113" s="138"/>
      <c r="J113" s="138"/>
      <c r="K113" s="130"/>
      <c r="L113" s="130"/>
      <c r="M113" s="130"/>
      <c r="N113" s="130"/>
      <c r="O113" s="130"/>
      <c r="P113" s="130"/>
      <c r="Q113" s="130"/>
      <c r="R113" s="130"/>
      <c r="S113" s="129"/>
      <c r="T113" s="129"/>
      <c r="U113" s="129"/>
      <c r="V113" s="130"/>
      <c r="W113" s="130"/>
      <c r="X113" s="130"/>
      <c r="Y113" s="130"/>
      <c r="Z113" s="152"/>
      <c r="AA113" s="130"/>
      <c r="AB113" s="130"/>
      <c r="AC113" s="130"/>
    </row>
    <row r="114" spans="1:29" ht="12.75" customHeight="1" x14ac:dyDescent="0.2">
      <c r="A114" s="129"/>
      <c r="B114" s="129"/>
      <c r="C114" s="143"/>
      <c r="D114" s="138"/>
      <c r="E114" s="129"/>
      <c r="F114" s="138"/>
      <c r="G114" s="138"/>
      <c r="H114" s="138"/>
      <c r="I114" s="138"/>
      <c r="J114" s="138"/>
      <c r="K114" s="130"/>
      <c r="L114" s="130"/>
      <c r="M114" s="130"/>
      <c r="N114" s="130"/>
      <c r="O114" s="130"/>
      <c r="P114" s="130"/>
      <c r="Q114" s="130"/>
      <c r="R114" s="130"/>
      <c r="S114" s="129"/>
      <c r="T114" s="129"/>
      <c r="U114" s="129"/>
      <c r="V114" s="130"/>
      <c r="W114" s="130"/>
      <c r="X114" s="130"/>
      <c r="Y114" s="130"/>
      <c r="Z114" s="152"/>
      <c r="AA114" s="130"/>
      <c r="AB114" s="130"/>
      <c r="AC114" s="130"/>
    </row>
    <row r="115" spans="1:29" ht="12.75" customHeight="1" x14ac:dyDescent="0.2">
      <c r="A115" s="129"/>
      <c r="B115" s="129"/>
      <c r="C115" s="143"/>
      <c r="D115" s="138"/>
      <c r="E115" s="129"/>
      <c r="F115" s="138"/>
      <c r="G115" s="138"/>
      <c r="H115" s="138"/>
      <c r="I115" s="138"/>
      <c r="J115" s="138"/>
      <c r="K115" s="130"/>
      <c r="L115" s="130"/>
      <c r="M115" s="130"/>
      <c r="N115" s="130"/>
      <c r="O115" s="130"/>
      <c r="P115" s="130"/>
      <c r="Q115" s="130"/>
      <c r="R115" s="130"/>
      <c r="S115" s="129"/>
      <c r="T115" s="129"/>
      <c r="U115" s="129"/>
      <c r="V115" s="130"/>
      <c r="W115" s="130"/>
      <c r="X115" s="130"/>
      <c r="Y115" s="130"/>
      <c r="Z115" s="152"/>
      <c r="AA115" s="130"/>
      <c r="AB115" s="130"/>
      <c r="AC115" s="130"/>
    </row>
    <row r="116" spans="1:29" ht="12.75" customHeight="1" x14ac:dyDescent="0.2">
      <c r="A116" s="129"/>
      <c r="B116" s="129"/>
      <c r="C116" s="143"/>
      <c r="D116" s="138"/>
      <c r="E116" s="129"/>
      <c r="F116" s="138"/>
      <c r="G116" s="138"/>
      <c r="H116" s="138"/>
      <c r="I116" s="138"/>
      <c r="J116" s="138"/>
      <c r="K116" s="130"/>
      <c r="L116" s="130"/>
      <c r="M116" s="130"/>
      <c r="N116" s="130"/>
      <c r="O116" s="130"/>
      <c r="P116" s="130"/>
      <c r="Q116" s="130"/>
      <c r="R116" s="130"/>
      <c r="S116" s="129"/>
      <c r="T116" s="129"/>
      <c r="U116" s="129"/>
      <c r="V116" s="130"/>
      <c r="W116" s="130"/>
      <c r="X116" s="130"/>
      <c r="Y116" s="130"/>
      <c r="Z116" s="152"/>
      <c r="AA116" s="130"/>
      <c r="AB116" s="130"/>
      <c r="AC116" s="130"/>
    </row>
    <row r="117" spans="1:29" ht="12.75" customHeight="1" x14ac:dyDescent="0.2">
      <c r="A117" s="129"/>
      <c r="B117" s="129"/>
      <c r="C117" s="143"/>
      <c r="D117" s="138"/>
      <c r="E117" s="129"/>
      <c r="F117" s="138"/>
      <c r="G117" s="138"/>
      <c r="H117" s="138"/>
      <c r="I117" s="138"/>
      <c r="J117" s="138"/>
      <c r="K117" s="130"/>
      <c r="L117" s="130"/>
      <c r="M117" s="130"/>
      <c r="N117" s="130"/>
      <c r="O117" s="130"/>
      <c r="P117" s="130"/>
      <c r="Q117" s="130"/>
      <c r="R117" s="130"/>
      <c r="S117" s="129"/>
      <c r="T117" s="129"/>
      <c r="U117" s="129"/>
      <c r="V117" s="130"/>
      <c r="W117" s="130"/>
      <c r="X117" s="130"/>
      <c r="Y117" s="130"/>
      <c r="Z117" s="152"/>
      <c r="AA117" s="130"/>
      <c r="AB117" s="130"/>
      <c r="AC117" s="130"/>
    </row>
    <row r="118" spans="1:29" ht="12.75" customHeight="1" x14ac:dyDescent="0.2">
      <c r="A118" s="129"/>
      <c r="B118" s="129"/>
      <c r="C118" s="143"/>
      <c r="D118" s="138"/>
      <c r="E118" s="129"/>
      <c r="F118" s="138"/>
      <c r="G118" s="138"/>
      <c r="H118" s="138"/>
      <c r="I118" s="138"/>
      <c r="J118" s="138"/>
      <c r="K118" s="130"/>
      <c r="L118" s="130"/>
      <c r="M118" s="130"/>
      <c r="N118" s="130"/>
      <c r="O118" s="130"/>
      <c r="P118" s="130"/>
      <c r="Q118" s="130"/>
      <c r="R118" s="130"/>
      <c r="S118" s="129"/>
      <c r="T118" s="129"/>
      <c r="U118" s="129"/>
      <c r="V118" s="130"/>
      <c r="W118" s="130"/>
      <c r="X118" s="130"/>
      <c r="Y118" s="130"/>
      <c r="Z118" s="152"/>
      <c r="AA118" s="130"/>
      <c r="AB118" s="130"/>
      <c r="AC118" s="130"/>
    </row>
    <row r="119" spans="1:29" ht="12.75" customHeight="1" x14ac:dyDescent="0.2">
      <c r="A119" s="129"/>
      <c r="B119" s="129"/>
      <c r="C119" s="143"/>
      <c r="D119" s="138"/>
      <c r="E119" s="129"/>
      <c r="F119" s="138"/>
      <c r="G119" s="138"/>
      <c r="H119" s="138"/>
      <c r="I119" s="138"/>
      <c r="J119" s="138"/>
      <c r="K119" s="130"/>
      <c r="L119" s="130"/>
      <c r="M119" s="130"/>
      <c r="N119" s="130"/>
      <c r="O119" s="130"/>
      <c r="P119" s="130"/>
      <c r="Q119" s="130"/>
      <c r="R119" s="130"/>
      <c r="S119" s="129"/>
      <c r="T119" s="129"/>
      <c r="U119" s="129"/>
      <c r="V119" s="130"/>
      <c r="W119" s="130"/>
      <c r="X119" s="130"/>
      <c r="Y119" s="130"/>
      <c r="Z119" s="152"/>
      <c r="AA119" s="130"/>
      <c r="AB119" s="130"/>
      <c r="AC119" s="130"/>
    </row>
    <row r="120" spans="1:29" ht="12.75" customHeight="1" x14ac:dyDescent="0.2">
      <c r="A120" s="129"/>
      <c r="B120" s="129"/>
      <c r="C120" s="143"/>
      <c r="D120" s="138"/>
      <c r="E120" s="129"/>
      <c r="F120" s="138"/>
      <c r="G120" s="138"/>
      <c r="H120" s="138"/>
      <c r="I120" s="138"/>
      <c r="J120" s="138"/>
      <c r="K120" s="130"/>
      <c r="L120" s="130"/>
      <c r="M120" s="130"/>
      <c r="N120" s="130"/>
      <c r="O120" s="130"/>
      <c r="P120" s="130"/>
      <c r="Q120" s="130"/>
      <c r="R120" s="130"/>
      <c r="S120" s="129"/>
      <c r="T120" s="129"/>
      <c r="U120" s="129"/>
      <c r="V120" s="130"/>
      <c r="W120" s="130"/>
      <c r="X120" s="130"/>
      <c r="Y120" s="130"/>
      <c r="Z120" s="152"/>
      <c r="AA120" s="130"/>
      <c r="AB120" s="130"/>
      <c r="AC120" s="130"/>
    </row>
    <row r="121" spans="1:29" ht="12.75" customHeight="1" x14ac:dyDescent="0.2">
      <c r="A121" s="129"/>
      <c r="B121" s="129"/>
      <c r="C121" s="143"/>
      <c r="D121" s="138"/>
      <c r="E121" s="129"/>
      <c r="F121" s="138"/>
      <c r="G121" s="138"/>
      <c r="H121" s="138"/>
      <c r="I121" s="138"/>
      <c r="J121" s="138"/>
      <c r="K121" s="130"/>
      <c r="L121" s="130"/>
      <c r="M121" s="130"/>
      <c r="N121" s="130"/>
      <c r="O121" s="130"/>
      <c r="P121" s="130"/>
      <c r="Q121" s="130"/>
      <c r="R121" s="130"/>
      <c r="S121" s="129"/>
      <c r="T121" s="129"/>
      <c r="U121" s="129"/>
      <c r="V121" s="130"/>
      <c r="W121" s="130"/>
      <c r="X121" s="130"/>
      <c r="Y121" s="130"/>
      <c r="Z121" s="152"/>
      <c r="AA121" s="130"/>
      <c r="AB121" s="130"/>
      <c r="AC121" s="130"/>
    </row>
    <row r="122" spans="1:29" ht="12.75" customHeight="1" x14ac:dyDescent="0.2">
      <c r="A122" s="129"/>
      <c r="B122" s="129"/>
      <c r="C122" s="143"/>
      <c r="D122" s="138"/>
      <c r="E122" s="129"/>
      <c r="F122" s="138"/>
      <c r="G122" s="138"/>
      <c r="H122" s="138"/>
      <c r="I122" s="138"/>
      <c r="J122" s="138"/>
      <c r="K122" s="130"/>
      <c r="L122" s="130"/>
      <c r="M122" s="130"/>
      <c r="N122" s="130"/>
      <c r="O122" s="130"/>
      <c r="P122" s="130"/>
      <c r="Q122" s="130"/>
      <c r="R122" s="130"/>
      <c r="S122" s="129"/>
      <c r="T122" s="129"/>
      <c r="U122" s="129"/>
      <c r="V122" s="130"/>
      <c r="W122" s="130"/>
      <c r="X122" s="130"/>
      <c r="Y122" s="130"/>
      <c r="Z122" s="152"/>
      <c r="AA122" s="130"/>
      <c r="AB122" s="130"/>
      <c r="AC122" s="130"/>
    </row>
    <row r="123" spans="1:29" ht="12.75" customHeight="1" x14ac:dyDescent="0.2">
      <c r="A123" s="129"/>
      <c r="B123" s="129"/>
      <c r="C123" s="143"/>
      <c r="D123" s="138"/>
      <c r="E123" s="129"/>
      <c r="F123" s="138"/>
      <c r="G123" s="138"/>
      <c r="H123" s="138"/>
      <c r="I123" s="138"/>
      <c r="J123" s="138"/>
      <c r="K123" s="130"/>
      <c r="L123" s="130"/>
      <c r="M123" s="130"/>
      <c r="N123" s="130"/>
      <c r="O123" s="130"/>
      <c r="P123" s="130"/>
      <c r="Q123" s="130"/>
      <c r="R123" s="130"/>
      <c r="S123" s="129"/>
      <c r="T123" s="129"/>
      <c r="U123" s="129"/>
      <c r="V123" s="130"/>
      <c r="W123" s="130"/>
      <c r="X123" s="130"/>
      <c r="Y123" s="130"/>
      <c r="Z123" s="152"/>
      <c r="AA123" s="130"/>
      <c r="AB123" s="130"/>
      <c r="AC123" s="130"/>
    </row>
    <row r="124" spans="1:29" ht="12.75" customHeight="1" x14ac:dyDescent="0.2">
      <c r="A124" s="129"/>
      <c r="B124" s="129"/>
      <c r="C124" s="143"/>
      <c r="D124" s="138"/>
      <c r="E124" s="129"/>
      <c r="F124" s="138"/>
      <c r="G124" s="138"/>
      <c r="H124" s="138"/>
      <c r="I124" s="138"/>
      <c r="J124" s="138"/>
      <c r="K124" s="130"/>
      <c r="L124" s="130"/>
      <c r="M124" s="130"/>
      <c r="N124" s="130"/>
      <c r="O124" s="130"/>
      <c r="P124" s="130"/>
      <c r="Q124" s="130"/>
      <c r="R124" s="130"/>
      <c r="S124" s="129"/>
      <c r="T124" s="129"/>
      <c r="U124" s="129"/>
      <c r="V124" s="130"/>
      <c r="W124" s="130"/>
      <c r="X124" s="130"/>
      <c r="Y124" s="130"/>
      <c r="Z124" s="152"/>
      <c r="AA124" s="130"/>
      <c r="AB124" s="130"/>
      <c r="AC124" s="130"/>
    </row>
    <row r="125" spans="1:29" ht="12.75" customHeight="1" x14ac:dyDescent="0.2">
      <c r="A125" s="129"/>
      <c r="B125" s="129"/>
      <c r="C125" s="143"/>
      <c r="D125" s="138"/>
      <c r="E125" s="129"/>
      <c r="F125" s="138"/>
      <c r="G125" s="138"/>
      <c r="H125" s="138"/>
      <c r="I125" s="138"/>
      <c r="J125" s="138"/>
      <c r="K125" s="130"/>
      <c r="L125" s="130"/>
      <c r="M125" s="130"/>
      <c r="N125" s="130"/>
      <c r="O125" s="130"/>
      <c r="P125" s="130"/>
      <c r="Q125" s="130"/>
      <c r="R125" s="130"/>
      <c r="S125" s="129"/>
      <c r="T125" s="129"/>
      <c r="U125" s="129"/>
      <c r="V125" s="130"/>
      <c r="W125" s="130"/>
      <c r="X125" s="130"/>
      <c r="Y125" s="130"/>
      <c r="Z125" s="152"/>
      <c r="AA125" s="130"/>
      <c r="AB125" s="130"/>
      <c r="AC125" s="130"/>
    </row>
    <row r="126" spans="1:29" ht="12.75" customHeight="1" x14ac:dyDescent="0.2">
      <c r="A126" s="129"/>
      <c r="B126" s="129"/>
      <c r="C126" s="143"/>
      <c r="D126" s="138"/>
      <c r="E126" s="129"/>
      <c r="F126" s="138"/>
      <c r="G126" s="138"/>
      <c r="H126" s="138"/>
      <c r="I126" s="138"/>
      <c r="J126" s="138"/>
      <c r="K126" s="130"/>
      <c r="L126" s="130"/>
      <c r="M126" s="130"/>
      <c r="N126" s="130"/>
      <c r="O126" s="130"/>
      <c r="P126" s="130"/>
      <c r="Q126" s="130"/>
      <c r="R126" s="130"/>
      <c r="S126" s="129"/>
      <c r="T126" s="129"/>
      <c r="U126" s="129"/>
      <c r="V126" s="130"/>
      <c r="W126" s="130"/>
      <c r="X126" s="130"/>
      <c r="Y126" s="130"/>
      <c r="Z126" s="152"/>
      <c r="AA126" s="130"/>
      <c r="AB126" s="130"/>
      <c r="AC126" s="130"/>
    </row>
    <row r="127" spans="1:29" ht="12.75" customHeight="1" x14ac:dyDescent="0.2">
      <c r="A127" s="129"/>
      <c r="B127" s="129"/>
      <c r="C127" s="143"/>
      <c r="D127" s="138"/>
      <c r="E127" s="129"/>
      <c r="F127" s="138"/>
      <c r="G127" s="138"/>
      <c r="H127" s="138"/>
      <c r="I127" s="138"/>
      <c r="J127" s="138"/>
      <c r="K127" s="130"/>
      <c r="L127" s="130"/>
      <c r="M127" s="130"/>
      <c r="N127" s="130"/>
      <c r="O127" s="130"/>
      <c r="P127" s="130"/>
      <c r="Q127" s="130"/>
      <c r="R127" s="130"/>
      <c r="S127" s="129"/>
      <c r="T127" s="129"/>
      <c r="U127" s="129"/>
      <c r="V127" s="130"/>
      <c r="W127" s="130"/>
      <c r="X127" s="130"/>
      <c r="Y127" s="130"/>
      <c r="Z127" s="152"/>
      <c r="AA127" s="130"/>
      <c r="AB127" s="130"/>
      <c r="AC127" s="130"/>
    </row>
    <row r="128" spans="1:29" ht="12.75" customHeight="1" x14ac:dyDescent="0.2">
      <c r="A128" s="129"/>
      <c r="B128" s="129"/>
      <c r="C128" s="143"/>
      <c r="D128" s="138"/>
      <c r="E128" s="129"/>
      <c r="F128" s="138"/>
      <c r="G128" s="138"/>
      <c r="H128" s="138"/>
      <c r="I128" s="138"/>
      <c r="J128" s="138"/>
      <c r="K128" s="130"/>
      <c r="L128" s="130"/>
      <c r="M128" s="130"/>
      <c r="N128" s="130"/>
      <c r="O128" s="130"/>
      <c r="P128" s="130"/>
      <c r="Q128" s="130"/>
      <c r="R128" s="130"/>
      <c r="S128" s="129"/>
      <c r="T128" s="129"/>
      <c r="U128" s="129"/>
      <c r="V128" s="130"/>
      <c r="W128" s="130"/>
      <c r="X128" s="130"/>
      <c r="Y128" s="130"/>
      <c r="Z128" s="152"/>
      <c r="AA128" s="130"/>
      <c r="AB128" s="130"/>
      <c r="AC128" s="130"/>
    </row>
    <row r="129" spans="1:29" ht="12.75" customHeight="1" x14ac:dyDescent="0.2">
      <c r="A129" s="129"/>
      <c r="B129" s="129"/>
      <c r="C129" s="143"/>
      <c r="D129" s="138"/>
      <c r="E129" s="129"/>
      <c r="F129" s="138"/>
      <c r="G129" s="138"/>
      <c r="H129" s="138"/>
      <c r="I129" s="138"/>
      <c r="J129" s="138"/>
      <c r="K129" s="130"/>
      <c r="L129" s="130"/>
      <c r="M129" s="130"/>
      <c r="N129" s="130"/>
      <c r="O129" s="130"/>
      <c r="P129" s="130"/>
      <c r="Q129" s="130"/>
      <c r="R129" s="130"/>
      <c r="S129" s="129"/>
      <c r="T129" s="129"/>
      <c r="U129" s="129"/>
      <c r="V129" s="130"/>
      <c r="W129" s="130"/>
      <c r="X129" s="130"/>
      <c r="Y129" s="130"/>
      <c r="Z129" s="152"/>
      <c r="AA129" s="130"/>
      <c r="AB129" s="130"/>
      <c r="AC129" s="130"/>
    </row>
    <row r="130" spans="1:29" ht="12.75" customHeight="1" x14ac:dyDescent="0.2">
      <c r="A130" s="129"/>
      <c r="B130" s="129"/>
      <c r="C130" s="143"/>
      <c r="D130" s="138"/>
      <c r="E130" s="129"/>
      <c r="F130" s="138"/>
      <c r="G130" s="138"/>
      <c r="H130" s="138"/>
      <c r="I130" s="138"/>
      <c r="J130" s="138"/>
      <c r="K130" s="130"/>
      <c r="L130" s="130"/>
      <c r="M130" s="130"/>
      <c r="N130" s="130"/>
      <c r="O130" s="130"/>
      <c r="P130" s="130"/>
      <c r="Q130" s="130"/>
      <c r="R130" s="130"/>
      <c r="S130" s="129"/>
      <c r="T130" s="129"/>
      <c r="U130" s="129"/>
      <c r="V130" s="130"/>
      <c r="W130" s="130"/>
      <c r="X130" s="130"/>
      <c r="Y130" s="130"/>
      <c r="Z130" s="152"/>
      <c r="AA130" s="130"/>
      <c r="AB130" s="130"/>
      <c r="AC130" s="130"/>
    </row>
    <row r="131" spans="1:29" ht="12.75" customHeight="1" x14ac:dyDescent="0.2">
      <c r="A131" s="129"/>
      <c r="B131" s="129"/>
      <c r="C131" s="143"/>
      <c r="D131" s="138"/>
      <c r="E131" s="129"/>
      <c r="F131" s="138"/>
      <c r="G131" s="138"/>
      <c r="H131" s="138"/>
      <c r="I131" s="138"/>
      <c r="J131" s="138"/>
      <c r="K131" s="130"/>
      <c r="L131" s="130"/>
      <c r="M131" s="130"/>
      <c r="N131" s="130"/>
      <c r="O131" s="130"/>
      <c r="P131" s="130"/>
      <c r="Q131" s="130"/>
      <c r="R131" s="130"/>
      <c r="S131" s="129"/>
      <c r="T131" s="129"/>
      <c r="U131" s="129"/>
      <c r="V131" s="130"/>
      <c r="W131" s="130"/>
      <c r="X131" s="130"/>
      <c r="Y131" s="130"/>
      <c r="Z131" s="152"/>
      <c r="AA131" s="130"/>
      <c r="AB131" s="130"/>
      <c r="AC131" s="130"/>
    </row>
    <row r="132" spans="1:29" ht="12.75" customHeight="1" x14ac:dyDescent="0.2">
      <c r="A132" s="129"/>
      <c r="B132" s="129"/>
      <c r="C132" s="143"/>
      <c r="D132" s="138"/>
      <c r="E132" s="129"/>
      <c r="F132" s="138"/>
      <c r="G132" s="138"/>
      <c r="H132" s="138"/>
      <c r="I132" s="138"/>
      <c r="J132" s="138"/>
      <c r="K132" s="130"/>
      <c r="L132" s="130"/>
      <c r="M132" s="130"/>
      <c r="N132" s="130"/>
      <c r="O132" s="130"/>
      <c r="P132" s="130"/>
      <c r="Q132" s="130"/>
      <c r="R132" s="130"/>
      <c r="S132" s="129"/>
      <c r="T132" s="129"/>
      <c r="U132" s="129"/>
      <c r="V132" s="130"/>
      <c r="W132" s="130"/>
      <c r="X132" s="130"/>
      <c r="Y132" s="130"/>
      <c r="Z132" s="152"/>
      <c r="AA132" s="130"/>
      <c r="AB132" s="130"/>
      <c r="AC132" s="130"/>
    </row>
    <row r="133" spans="1:29" ht="12.75" customHeight="1" x14ac:dyDescent="0.2">
      <c r="A133" s="129"/>
      <c r="B133" s="129"/>
      <c r="C133" s="143"/>
      <c r="D133" s="138"/>
      <c r="E133" s="129"/>
      <c r="F133" s="138"/>
      <c r="G133" s="138"/>
      <c r="H133" s="138"/>
      <c r="I133" s="138"/>
      <c r="J133" s="138"/>
      <c r="K133" s="130"/>
      <c r="L133" s="130"/>
      <c r="M133" s="130"/>
      <c r="N133" s="130"/>
      <c r="O133" s="130"/>
      <c r="P133" s="130"/>
      <c r="Q133" s="130"/>
      <c r="R133" s="130"/>
      <c r="S133" s="129"/>
      <c r="T133" s="129"/>
      <c r="U133" s="129"/>
      <c r="V133" s="130"/>
      <c r="W133" s="130"/>
      <c r="X133" s="130"/>
      <c r="Y133" s="130"/>
      <c r="Z133" s="152"/>
      <c r="AA133" s="130"/>
      <c r="AB133" s="130"/>
      <c r="AC133" s="130"/>
    </row>
    <row r="134" spans="1:29" ht="12.75" customHeight="1" x14ac:dyDescent="0.2">
      <c r="A134" s="129"/>
      <c r="B134" s="129"/>
      <c r="C134" s="143"/>
      <c r="D134" s="138"/>
      <c r="E134" s="129"/>
      <c r="F134" s="138"/>
      <c r="G134" s="138"/>
      <c r="H134" s="138"/>
      <c r="I134" s="138"/>
      <c r="J134" s="138"/>
      <c r="K134" s="130"/>
      <c r="L134" s="130"/>
      <c r="M134" s="130"/>
      <c r="N134" s="130"/>
      <c r="O134" s="130"/>
      <c r="P134" s="130"/>
      <c r="Q134" s="130"/>
      <c r="R134" s="130"/>
      <c r="S134" s="129"/>
      <c r="T134" s="129"/>
      <c r="U134" s="129"/>
      <c r="V134" s="130"/>
      <c r="W134" s="130"/>
      <c r="X134" s="130"/>
      <c r="Y134" s="130"/>
      <c r="Z134" s="152"/>
      <c r="AA134" s="130"/>
      <c r="AB134" s="130"/>
      <c r="AC134" s="130"/>
    </row>
    <row r="135" spans="1:29" ht="12.75" customHeight="1" x14ac:dyDescent="0.2">
      <c r="A135" s="129"/>
      <c r="B135" s="129"/>
      <c r="C135" s="143"/>
      <c r="D135" s="138"/>
      <c r="E135" s="129"/>
      <c r="F135" s="138"/>
      <c r="G135" s="138"/>
      <c r="H135" s="138"/>
      <c r="I135" s="138"/>
      <c r="J135" s="138"/>
      <c r="K135" s="130"/>
      <c r="L135" s="130"/>
      <c r="M135" s="130"/>
      <c r="N135" s="130"/>
      <c r="O135" s="130"/>
      <c r="P135" s="130"/>
      <c r="Q135" s="130"/>
      <c r="R135" s="130"/>
      <c r="S135" s="129"/>
      <c r="T135" s="129"/>
      <c r="U135" s="129"/>
      <c r="V135" s="130"/>
      <c r="W135" s="130"/>
      <c r="X135" s="130"/>
      <c r="Y135" s="130"/>
      <c r="Z135" s="152"/>
      <c r="AA135" s="130"/>
      <c r="AB135" s="130"/>
      <c r="AC135" s="130"/>
    </row>
    <row r="136" spans="1:29" ht="12.75" customHeight="1" x14ac:dyDescent="0.2">
      <c r="A136" s="129"/>
      <c r="B136" s="129"/>
      <c r="C136" s="143"/>
      <c r="D136" s="138"/>
      <c r="E136" s="129"/>
      <c r="F136" s="138"/>
      <c r="G136" s="138"/>
      <c r="H136" s="138"/>
      <c r="I136" s="138"/>
      <c r="J136" s="138"/>
      <c r="K136" s="130"/>
      <c r="L136" s="130"/>
      <c r="M136" s="130"/>
      <c r="N136" s="130"/>
      <c r="O136" s="130"/>
      <c r="P136" s="130"/>
      <c r="Q136" s="130"/>
      <c r="R136" s="130"/>
      <c r="S136" s="129"/>
      <c r="T136" s="129"/>
      <c r="U136" s="129"/>
      <c r="V136" s="130"/>
      <c r="W136" s="130"/>
      <c r="X136" s="130"/>
      <c r="Y136" s="130"/>
      <c r="Z136" s="152"/>
      <c r="AA136" s="130"/>
      <c r="AB136" s="130"/>
      <c r="AC136" s="130"/>
    </row>
    <row r="137" spans="1:29" ht="12.75" customHeight="1" x14ac:dyDescent="0.2">
      <c r="A137" s="129"/>
      <c r="B137" s="129"/>
      <c r="C137" s="143"/>
      <c r="D137" s="138"/>
      <c r="E137" s="129"/>
      <c r="F137" s="138"/>
      <c r="G137" s="138"/>
      <c r="H137" s="138"/>
      <c r="I137" s="138"/>
      <c r="J137" s="138"/>
      <c r="K137" s="130"/>
      <c r="L137" s="130"/>
      <c r="M137" s="130"/>
      <c r="N137" s="130"/>
      <c r="O137" s="130"/>
      <c r="P137" s="130"/>
      <c r="Q137" s="130"/>
      <c r="R137" s="130"/>
      <c r="S137" s="129"/>
      <c r="T137" s="129"/>
      <c r="U137" s="129"/>
      <c r="V137" s="130"/>
      <c r="W137" s="130"/>
      <c r="X137" s="130"/>
      <c r="Y137" s="130"/>
      <c r="Z137" s="152"/>
      <c r="AA137" s="130"/>
      <c r="AB137" s="130"/>
      <c r="AC137" s="130"/>
    </row>
    <row r="138" spans="1:29" ht="12.75" customHeight="1" x14ac:dyDescent="0.2">
      <c r="A138" s="129"/>
      <c r="B138" s="129"/>
      <c r="C138" s="143"/>
      <c r="D138" s="138"/>
      <c r="E138" s="129"/>
      <c r="F138" s="138"/>
      <c r="G138" s="138"/>
      <c r="H138" s="138"/>
      <c r="I138" s="138"/>
      <c r="J138" s="138"/>
      <c r="K138" s="130"/>
      <c r="L138" s="130"/>
      <c r="M138" s="130"/>
      <c r="N138" s="130"/>
      <c r="O138" s="130"/>
      <c r="P138" s="130"/>
      <c r="Q138" s="130"/>
      <c r="R138" s="130"/>
      <c r="S138" s="129"/>
      <c r="T138" s="129"/>
      <c r="U138" s="129"/>
      <c r="V138" s="130"/>
      <c r="W138" s="130"/>
      <c r="X138" s="130"/>
      <c r="Y138" s="130"/>
      <c r="Z138" s="152"/>
      <c r="AA138" s="130"/>
      <c r="AB138" s="130"/>
      <c r="AC138" s="130"/>
    </row>
    <row r="139" spans="1:29" ht="12.75" customHeight="1" x14ac:dyDescent="0.2">
      <c r="A139" s="129"/>
      <c r="B139" s="129"/>
      <c r="C139" s="143"/>
      <c r="D139" s="138"/>
      <c r="E139" s="129"/>
      <c r="F139" s="138"/>
      <c r="G139" s="138"/>
      <c r="H139" s="138"/>
      <c r="I139" s="138"/>
      <c r="J139" s="138"/>
      <c r="K139" s="130"/>
      <c r="L139" s="130"/>
      <c r="M139" s="130"/>
      <c r="N139" s="130"/>
      <c r="O139" s="130"/>
      <c r="P139" s="130"/>
      <c r="Q139" s="130"/>
      <c r="R139" s="130"/>
      <c r="S139" s="129"/>
      <c r="T139" s="129"/>
      <c r="U139" s="129"/>
      <c r="V139" s="130"/>
      <c r="W139" s="130"/>
      <c r="X139" s="130"/>
      <c r="Y139" s="130"/>
      <c r="Z139" s="152"/>
      <c r="AA139" s="130"/>
      <c r="AB139" s="130"/>
      <c r="AC139" s="130"/>
    </row>
    <row r="140" spans="1:29" ht="12.75" customHeight="1" x14ac:dyDescent="0.2">
      <c r="A140" s="129"/>
      <c r="B140" s="129"/>
      <c r="C140" s="143"/>
      <c r="D140" s="138"/>
      <c r="E140" s="129"/>
      <c r="F140" s="138"/>
      <c r="G140" s="138"/>
      <c r="H140" s="138"/>
      <c r="I140" s="138"/>
      <c r="J140" s="138"/>
      <c r="K140" s="130"/>
      <c r="L140" s="130"/>
      <c r="M140" s="130"/>
      <c r="N140" s="130"/>
      <c r="O140" s="130"/>
      <c r="P140" s="130"/>
      <c r="Q140" s="130"/>
      <c r="R140" s="130"/>
      <c r="S140" s="129"/>
      <c r="T140" s="129"/>
      <c r="U140" s="129"/>
      <c r="V140" s="130"/>
      <c r="W140" s="130"/>
      <c r="X140" s="130"/>
      <c r="Y140" s="130"/>
      <c r="Z140" s="152"/>
      <c r="AA140" s="130"/>
      <c r="AB140" s="130"/>
      <c r="AC140" s="130"/>
    </row>
    <row r="141" spans="1:29" ht="12.75" customHeight="1" x14ac:dyDescent="0.2">
      <c r="A141" s="129"/>
      <c r="B141" s="129"/>
      <c r="C141" s="143"/>
      <c r="D141" s="138"/>
      <c r="E141" s="129"/>
      <c r="F141" s="138"/>
      <c r="G141" s="138"/>
      <c r="H141" s="138"/>
      <c r="I141" s="138"/>
      <c r="J141" s="138"/>
      <c r="K141" s="130"/>
      <c r="L141" s="130"/>
      <c r="M141" s="130"/>
      <c r="N141" s="130"/>
      <c r="O141" s="130"/>
      <c r="P141" s="130"/>
      <c r="Q141" s="130"/>
      <c r="R141" s="130"/>
      <c r="S141" s="129"/>
      <c r="T141" s="129"/>
      <c r="U141" s="129"/>
      <c r="V141" s="130"/>
      <c r="W141" s="130"/>
      <c r="X141" s="130"/>
      <c r="Y141" s="130"/>
      <c r="Z141" s="152"/>
      <c r="AA141" s="130"/>
      <c r="AB141" s="130"/>
      <c r="AC141" s="130"/>
    </row>
    <row r="142" spans="1:29" ht="12.75" customHeight="1" x14ac:dyDescent="0.2">
      <c r="A142" s="129"/>
      <c r="B142" s="129"/>
      <c r="C142" s="143"/>
      <c r="D142" s="138"/>
      <c r="E142" s="129"/>
      <c r="F142" s="138"/>
      <c r="G142" s="138"/>
      <c r="H142" s="138"/>
      <c r="I142" s="138"/>
      <c r="J142" s="138"/>
      <c r="K142" s="130"/>
      <c r="L142" s="130"/>
      <c r="M142" s="130"/>
      <c r="N142" s="130"/>
      <c r="O142" s="130"/>
      <c r="P142" s="130"/>
      <c r="Q142" s="130"/>
      <c r="R142" s="130"/>
      <c r="S142" s="129"/>
      <c r="T142" s="129"/>
      <c r="U142" s="129"/>
      <c r="V142" s="130"/>
      <c r="W142" s="130"/>
      <c r="X142" s="130"/>
      <c r="Y142" s="130"/>
      <c r="Z142" s="152"/>
      <c r="AA142" s="130"/>
      <c r="AB142" s="130"/>
      <c r="AC142" s="130"/>
    </row>
    <row r="143" spans="1:29" ht="12.75" customHeight="1" x14ac:dyDescent="0.2">
      <c r="A143" s="129"/>
      <c r="B143" s="129"/>
      <c r="C143" s="143"/>
      <c r="D143" s="138"/>
      <c r="E143" s="129"/>
      <c r="F143" s="138"/>
      <c r="G143" s="138"/>
      <c r="H143" s="138"/>
      <c r="I143" s="138"/>
      <c r="J143" s="138"/>
      <c r="K143" s="130"/>
      <c r="L143" s="130"/>
      <c r="M143" s="130"/>
      <c r="N143" s="130"/>
      <c r="O143" s="130"/>
      <c r="P143" s="130"/>
      <c r="Q143" s="130"/>
      <c r="R143" s="130"/>
      <c r="S143" s="129"/>
      <c r="T143" s="129"/>
      <c r="U143" s="129"/>
      <c r="V143" s="130"/>
      <c r="W143" s="130"/>
      <c r="X143" s="130"/>
      <c r="Y143" s="130"/>
      <c r="Z143" s="152"/>
      <c r="AA143" s="130"/>
      <c r="AB143" s="130"/>
      <c r="AC143" s="130"/>
    </row>
    <row r="144" spans="1:29" ht="12.75" customHeight="1" x14ac:dyDescent="0.2">
      <c r="A144" s="129"/>
      <c r="B144" s="129"/>
      <c r="C144" s="143"/>
      <c r="D144" s="138"/>
      <c r="E144" s="129"/>
      <c r="F144" s="138"/>
      <c r="G144" s="138"/>
      <c r="H144" s="138"/>
      <c r="I144" s="138"/>
      <c r="J144" s="138"/>
      <c r="K144" s="130"/>
      <c r="L144" s="130"/>
      <c r="M144" s="130"/>
      <c r="N144" s="130"/>
      <c r="O144" s="130"/>
      <c r="P144" s="130"/>
      <c r="Q144" s="130"/>
      <c r="R144" s="130"/>
      <c r="S144" s="129"/>
      <c r="T144" s="129"/>
      <c r="U144" s="129"/>
      <c r="V144" s="130"/>
      <c r="W144" s="130"/>
      <c r="X144" s="130"/>
      <c r="Y144" s="130"/>
      <c r="Z144" s="152"/>
      <c r="AA144" s="130"/>
      <c r="AB144" s="130"/>
      <c r="AC144" s="130"/>
    </row>
    <row r="145" spans="1:29" ht="12.75" customHeight="1" x14ac:dyDescent="0.2">
      <c r="A145" s="129"/>
      <c r="B145" s="129"/>
      <c r="C145" s="143"/>
      <c r="D145" s="138"/>
      <c r="E145" s="129"/>
      <c r="F145" s="138"/>
      <c r="G145" s="138"/>
      <c r="H145" s="138"/>
      <c r="I145" s="138"/>
      <c r="J145" s="138"/>
      <c r="K145" s="130"/>
      <c r="L145" s="130"/>
      <c r="M145" s="130"/>
      <c r="N145" s="130"/>
      <c r="O145" s="130"/>
      <c r="P145" s="130"/>
      <c r="Q145" s="130"/>
      <c r="R145" s="130"/>
      <c r="S145" s="129"/>
      <c r="T145" s="129"/>
      <c r="U145" s="129"/>
      <c r="V145" s="130"/>
      <c r="W145" s="130"/>
      <c r="X145" s="130"/>
      <c r="Y145" s="130"/>
      <c r="Z145" s="152"/>
      <c r="AA145" s="130"/>
      <c r="AB145" s="130"/>
      <c r="AC145" s="130"/>
    </row>
    <row r="146" spans="1:29" ht="12.75" customHeight="1" x14ac:dyDescent="0.2">
      <c r="A146" s="129"/>
      <c r="B146" s="129"/>
      <c r="C146" s="143"/>
      <c r="D146" s="138"/>
      <c r="E146" s="129"/>
      <c r="F146" s="138"/>
      <c r="G146" s="138"/>
      <c r="H146" s="138"/>
      <c r="I146" s="138"/>
      <c r="J146" s="138"/>
      <c r="K146" s="130"/>
      <c r="L146" s="130"/>
      <c r="M146" s="130"/>
      <c r="N146" s="130"/>
      <c r="O146" s="130"/>
      <c r="P146" s="130"/>
      <c r="Q146" s="130"/>
      <c r="R146" s="130"/>
      <c r="S146" s="129"/>
      <c r="T146" s="129"/>
      <c r="U146" s="129"/>
      <c r="V146" s="130"/>
      <c r="W146" s="130"/>
      <c r="X146" s="130"/>
      <c r="Y146" s="130"/>
      <c r="Z146" s="152"/>
      <c r="AA146" s="130"/>
      <c r="AB146" s="130"/>
      <c r="AC146" s="130"/>
    </row>
    <row r="147" spans="1:29" ht="12.75" customHeight="1" x14ac:dyDescent="0.2">
      <c r="A147" s="129"/>
      <c r="B147" s="129"/>
      <c r="C147" s="143"/>
      <c r="D147" s="138"/>
      <c r="E147" s="129"/>
      <c r="F147" s="138"/>
      <c r="G147" s="138"/>
      <c r="H147" s="138"/>
      <c r="I147" s="138"/>
      <c r="J147" s="138"/>
      <c r="K147" s="130"/>
      <c r="L147" s="130"/>
      <c r="M147" s="130"/>
      <c r="N147" s="130"/>
      <c r="O147" s="130"/>
      <c r="P147" s="130"/>
      <c r="Q147" s="130"/>
      <c r="R147" s="130"/>
      <c r="S147" s="129"/>
      <c r="T147" s="129"/>
      <c r="U147" s="129"/>
      <c r="V147" s="130"/>
      <c r="W147" s="130"/>
      <c r="X147" s="130"/>
      <c r="Y147" s="130"/>
      <c r="Z147" s="152"/>
      <c r="AA147" s="130"/>
      <c r="AB147" s="130"/>
      <c r="AC147" s="130"/>
    </row>
    <row r="148" spans="1:29" ht="12.75" customHeight="1" x14ac:dyDescent="0.2">
      <c r="A148" s="129"/>
      <c r="B148" s="129"/>
      <c r="C148" s="143"/>
      <c r="D148" s="138"/>
      <c r="E148" s="129"/>
      <c r="F148" s="138"/>
      <c r="G148" s="138"/>
      <c r="H148" s="138"/>
      <c r="I148" s="138"/>
      <c r="J148" s="138"/>
      <c r="K148" s="130"/>
      <c r="L148" s="130"/>
      <c r="M148" s="130"/>
      <c r="N148" s="130"/>
      <c r="O148" s="130"/>
      <c r="P148" s="130"/>
      <c r="Q148" s="130"/>
      <c r="R148" s="130"/>
      <c r="S148" s="129"/>
      <c r="T148" s="129"/>
      <c r="U148" s="129"/>
      <c r="V148" s="130"/>
      <c r="W148" s="130"/>
      <c r="X148" s="130"/>
      <c r="Y148" s="130"/>
      <c r="Z148" s="152"/>
      <c r="AA148" s="130"/>
      <c r="AB148" s="130"/>
      <c r="AC148" s="130"/>
    </row>
    <row r="149" spans="1:29" ht="12.75" customHeight="1" x14ac:dyDescent="0.2">
      <c r="A149" s="129"/>
      <c r="B149" s="129"/>
      <c r="C149" s="143"/>
      <c r="D149" s="138"/>
      <c r="E149" s="129"/>
      <c r="F149" s="138"/>
      <c r="G149" s="138"/>
      <c r="H149" s="138"/>
      <c r="I149" s="138"/>
      <c r="J149" s="138"/>
      <c r="K149" s="130"/>
      <c r="L149" s="130"/>
      <c r="M149" s="130"/>
      <c r="N149" s="130"/>
      <c r="O149" s="130"/>
      <c r="P149" s="130"/>
      <c r="Q149" s="130"/>
      <c r="R149" s="130"/>
      <c r="S149" s="129"/>
      <c r="T149" s="129"/>
      <c r="U149" s="129"/>
      <c r="V149" s="130"/>
      <c r="W149" s="130"/>
      <c r="X149" s="130"/>
      <c r="Y149" s="130"/>
      <c r="Z149" s="152"/>
      <c r="AA149" s="130"/>
      <c r="AB149" s="130"/>
      <c r="AC149" s="130"/>
    </row>
    <row r="150" spans="1:29" ht="12.75" customHeight="1" x14ac:dyDescent="0.2">
      <c r="A150" s="129"/>
      <c r="B150" s="129"/>
      <c r="C150" s="143"/>
      <c r="D150" s="138"/>
      <c r="E150" s="129"/>
      <c r="F150" s="138"/>
      <c r="G150" s="138"/>
      <c r="H150" s="138"/>
      <c r="I150" s="138"/>
      <c r="J150" s="138"/>
      <c r="K150" s="130"/>
      <c r="L150" s="130"/>
      <c r="M150" s="130"/>
      <c r="N150" s="130"/>
      <c r="O150" s="130"/>
      <c r="P150" s="130"/>
      <c r="Q150" s="130"/>
      <c r="R150" s="130"/>
      <c r="S150" s="129"/>
      <c r="T150" s="129"/>
      <c r="U150" s="129"/>
      <c r="V150" s="130"/>
      <c r="W150" s="130"/>
      <c r="X150" s="130"/>
      <c r="Y150" s="130"/>
      <c r="Z150" s="152"/>
      <c r="AA150" s="130"/>
      <c r="AB150" s="130"/>
      <c r="AC150" s="130"/>
    </row>
    <row r="151" spans="1:29" ht="12.75" customHeight="1" x14ac:dyDescent="0.2">
      <c r="A151" s="129"/>
      <c r="B151" s="129"/>
      <c r="C151" s="143"/>
      <c r="D151" s="138"/>
      <c r="E151" s="129"/>
      <c r="F151" s="138"/>
      <c r="G151" s="138"/>
      <c r="H151" s="138"/>
      <c r="I151" s="138"/>
      <c r="J151" s="138"/>
      <c r="K151" s="130"/>
      <c r="L151" s="130"/>
      <c r="M151" s="130"/>
      <c r="N151" s="130"/>
      <c r="O151" s="130"/>
      <c r="P151" s="130"/>
      <c r="Q151" s="130"/>
      <c r="R151" s="130"/>
      <c r="S151" s="129"/>
      <c r="T151" s="129"/>
      <c r="U151" s="129"/>
      <c r="V151" s="130"/>
      <c r="W151" s="130"/>
      <c r="X151" s="130"/>
      <c r="Y151" s="130"/>
      <c r="Z151" s="152"/>
      <c r="AA151" s="130"/>
      <c r="AB151" s="130"/>
      <c r="AC151" s="130"/>
    </row>
    <row r="152" spans="1:29" ht="12.75" customHeight="1" x14ac:dyDescent="0.2">
      <c r="A152" s="129"/>
      <c r="B152" s="129"/>
      <c r="C152" s="143"/>
      <c r="D152" s="138"/>
      <c r="E152" s="129"/>
      <c r="F152" s="138"/>
      <c r="G152" s="138"/>
      <c r="H152" s="138"/>
      <c r="I152" s="138"/>
      <c r="J152" s="138"/>
      <c r="K152" s="130"/>
      <c r="L152" s="130"/>
      <c r="M152" s="130"/>
      <c r="N152" s="130"/>
      <c r="O152" s="130"/>
      <c r="P152" s="130"/>
      <c r="Q152" s="130"/>
      <c r="R152" s="130"/>
      <c r="S152" s="129"/>
      <c r="T152" s="129"/>
      <c r="U152" s="129"/>
      <c r="V152" s="130"/>
      <c r="W152" s="130"/>
      <c r="X152" s="130"/>
      <c r="Y152" s="130"/>
      <c r="Z152" s="152"/>
      <c r="AA152" s="130"/>
      <c r="AB152" s="130"/>
      <c r="AC152" s="130"/>
    </row>
    <row r="153" spans="1:29" ht="12.75" customHeight="1" x14ac:dyDescent="0.2">
      <c r="A153" s="129"/>
      <c r="B153" s="129"/>
      <c r="C153" s="143"/>
      <c r="D153" s="138"/>
      <c r="E153" s="129"/>
      <c r="F153" s="138"/>
      <c r="G153" s="138"/>
      <c r="H153" s="138"/>
      <c r="I153" s="138"/>
      <c r="J153" s="138"/>
      <c r="K153" s="130"/>
      <c r="L153" s="130"/>
      <c r="M153" s="130"/>
      <c r="N153" s="130"/>
      <c r="O153" s="130"/>
      <c r="P153" s="130"/>
      <c r="Q153" s="130"/>
      <c r="R153" s="130"/>
      <c r="S153" s="129"/>
      <c r="T153" s="129"/>
      <c r="U153" s="129"/>
      <c r="V153" s="130"/>
      <c r="W153" s="130"/>
      <c r="X153" s="130"/>
      <c r="Y153" s="130"/>
      <c r="Z153" s="152"/>
      <c r="AA153" s="130"/>
      <c r="AB153" s="130"/>
      <c r="AC153" s="130"/>
    </row>
    <row r="154" spans="1:29" ht="12.75" customHeight="1" x14ac:dyDescent="0.2">
      <c r="A154" s="129"/>
      <c r="B154" s="129"/>
      <c r="C154" s="143"/>
      <c r="D154" s="138"/>
      <c r="E154" s="129"/>
      <c r="F154" s="138"/>
      <c r="G154" s="138"/>
      <c r="H154" s="138"/>
      <c r="I154" s="138"/>
      <c r="J154" s="138"/>
      <c r="K154" s="130"/>
      <c r="L154" s="130"/>
      <c r="M154" s="130"/>
      <c r="N154" s="130"/>
      <c r="O154" s="130"/>
      <c r="P154" s="130"/>
      <c r="Q154" s="130"/>
      <c r="R154" s="130"/>
      <c r="S154" s="129"/>
      <c r="T154" s="129"/>
      <c r="U154" s="129"/>
      <c r="V154" s="130"/>
      <c r="W154" s="130"/>
      <c r="X154" s="130"/>
      <c r="Y154" s="130"/>
      <c r="Z154" s="152"/>
      <c r="AA154" s="130"/>
      <c r="AB154" s="130"/>
      <c r="AC154" s="130"/>
    </row>
    <row r="155" spans="1:29" ht="12.75" customHeight="1" x14ac:dyDescent="0.2">
      <c r="A155" s="129"/>
      <c r="B155" s="129"/>
      <c r="C155" s="143"/>
      <c r="D155" s="138"/>
      <c r="E155" s="129"/>
      <c r="F155" s="138"/>
      <c r="G155" s="138"/>
      <c r="H155" s="138"/>
      <c r="I155" s="138"/>
      <c r="J155" s="138"/>
      <c r="K155" s="130"/>
      <c r="L155" s="130"/>
      <c r="M155" s="130"/>
      <c r="N155" s="130"/>
      <c r="O155" s="130"/>
      <c r="P155" s="130"/>
      <c r="Q155" s="130"/>
      <c r="R155" s="130"/>
      <c r="S155" s="129"/>
      <c r="T155" s="129"/>
      <c r="U155" s="129"/>
      <c r="V155" s="130"/>
      <c r="W155" s="130"/>
      <c r="X155" s="130"/>
      <c r="Y155" s="130"/>
      <c r="Z155" s="152"/>
      <c r="AA155" s="130"/>
      <c r="AB155" s="130"/>
      <c r="AC155" s="130"/>
    </row>
    <row r="156" spans="1:29" ht="12.75" customHeight="1" x14ac:dyDescent="0.2">
      <c r="A156" s="129"/>
      <c r="B156" s="129"/>
      <c r="C156" s="143"/>
      <c r="D156" s="138"/>
      <c r="E156" s="129"/>
      <c r="F156" s="138"/>
      <c r="G156" s="138"/>
      <c r="H156" s="138"/>
      <c r="I156" s="138"/>
      <c r="J156" s="138"/>
      <c r="K156" s="130"/>
      <c r="L156" s="130"/>
      <c r="M156" s="130"/>
      <c r="N156" s="130"/>
      <c r="O156" s="130"/>
      <c r="P156" s="130"/>
      <c r="Q156" s="130"/>
      <c r="R156" s="130"/>
      <c r="S156" s="129"/>
      <c r="T156" s="129"/>
      <c r="U156" s="129"/>
      <c r="V156" s="130"/>
      <c r="W156" s="130"/>
      <c r="X156" s="130"/>
      <c r="Y156" s="130"/>
      <c r="Z156" s="152"/>
      <c r="AA156" s="130"/>
      <c r="AB156" s="130"/>
      <c r="AC156" s="130"/>
    </row>
    <row r="157" spans="1:29" ht="12.75" customHeight="1" x14ac:dyDescent="0.2">
      <c r="A157" s="129"/>
      <c r="B157" s="129"/>
      <c r="C157" s="143"/>
      <c r="D157" s="138"/>
      <c r="E157" s="129"/>
      <c r="F157" s="138"/>
      <c r="G157" s="138"/>
      <c r="H157" s="138"/>
      <c r="I157" s="138"/>
      <c r="J157" s="138"/>
      <c r="K157" s="130"/>
      <c r="L157" s="130"/>
      <c r="M157" s="130"/>
      <c r="N157" s="130"/>
      <c r="O157" s="130"/>
      <c r="P157" s="130"/>
      <c r="Q157" s="130"/>
      <c r="R157" s="130"/>
      <c r="S157" s="129"/>
      <c r="T157" s="129"/>
      <c r="U157" s="129"/>
      <c r="V157" s="130"/>
      <c r="W157" s="130"/>
      <c r="X157" s="130"/>
      <c r="Y157" s="130"/>
      <c r="Z157" s="152"/>
      <c r="AA157" s="130"/>
      <c r="AB157" s="130"/>
      <c r="AC157" s="130"/>
    </row>
    <row r="158" spans="1:29" ht="12.75" customHeight="1" x14ac:dyDescent="0.2">
      <c r="A158" s="129"/>
      <c r="B158" s="129"/>
      <c r="C158" s="143"/>
      <c r="D158" s="138"/>
      <c r="E158" s="129"/>
      <c r="F158" s="138"/>
      <c r="G158" s="138"/>
      <c r="H158" s="138"/>
      <c r="I158" s="138"/>
      <c r="J158" s="138"/>
      <c r="K158" s="130"/>
      <c r="L158" s="130"/>
      <c r="M158" s="130"/>
      <c r="N158" s="130"/>
      <c r="O158" s="130"/>
      <c r="P158" s="130"/>
      <c r="Q158" s="130"/>
      <c r="R158" s="130"/>
      <c r="S158" s="129"/>
      <c r="T158" s="129"/>
      <c r="U158" s="129"/>
      <c r="V158" s="130"/>
      <c r="W158" s="130"/>
      <c r="X158" s="130"/>
      <c r="Y158" s="130"/>
      <c r="Z158" s="152"/>
      <c r="AA158" s="130"/>
      <c r="AB158" s="130"/>
      <c r="AC158" s="130"/>
    </row>
    <row r="159" spans="1:29" ht="12.75" customHeight="1" x14ac:dyDescent="0.2">
      <c r="A159" s="129"/>
      <c r="B159" s="129"/>
      <c r="C159" s="143"/>
      <c r="D159" s="138"/>
      <c r="E159" s="129"/>
      <c r="F159" s="138"/>
      <c r="G159" s="138"/>
      <c r="H159" s="138"/>
      <c r="I159" s="138"/>
      <c r="J159" s="138"/>
      <c r="K159" s="130"/>
      <c r="L159" s="130"/>
      <c r="M159" s="130"/>
      <c r="N159" s="130"/>
      <c r="O159" s="130"/>
      <c r="P159" s="130"/>
      <c r="Q159" s="130"/>
      <c r="R159" s="130"/>
      <c r="S159" s="129"/>
      <c r="T159" s="129"/>
      <c r="U159" s="129"/>
      <c r="V159" s="130"/>
      <c r="W159" s="130"/>
      <c r="X159" s="130"/>
      <c r="Y159" s="130"/>
      <c r="Z159" s="152"/>
      <c r="AA159" s="130"/>
      <c r="AB159" s="130"/>
      <c r="AC159" s="130"/>
    </row>
    <row r="160" spans="1:29" ht="12.75" customHeight="1" x14ac:dyDescent="0.2">
      <c r="A160" s="129"/>
      <c r="B160" s="129"/>
      <c r="C160" s="143"/>
      <c r="D160" s="138"/>
      <c r="E160" s="129"/>
      <c r="F160" s="138"/>
      <c r="G160" s="138"/>
      <c r="H160" s="138"/>
      <c r="I160" s="138"/>
      <c r="J160" s="138"/>
      <c r="K160" s="130"/>
      <c r="L160" s="130"/>
      <c r="M160" s="130"/>
      <c r="N160" s="130"/>
      <c r="O160" s="130"/>
      <c r="P160" s="130"/>
      <c r="Q160" s="130"/>
      <c r="R160" s="130"/>
      <c r="S160" s="129"/>
      <c r="T160" s="129"/>
      <c r="U160" s="129"/>
      <c r="V160" s="130"/>
      <c r="W160" s="130"/>
      <c r="X160" s="130"/>
      <c r="Y160" s="130"/>
      <c r="Z160" s="152"/>
      <c r="AA160" s="130"/>
      <c r="AB160" s="130"/>
      <c r="AC160" s="130"/>
    </row>
    <row r="161" spans="1:29" ht="12.75" customHeight="1" x14ac:dyDescent="0.2">
      <c r="A161" s="129"/>
      <c r="B161" s="129"/>
      <c r="C161" s="143"/>
      <c r="D161" s="138"/>
      <c r="E161" s="129"/>
      <c r="F161" s="138"/>
      <c r="G161" s="138"/>
      <c r="H161" s="138"/>
      <c r="I161" s="138"/>
      <c r="J161" s="138"/>
      <c r="K161" s="130"/>
      <c r="L161" s="130"/>
      <c r="M161" s="130"/>
      <c r="N161" s="130"/>
      <c r="O161" s="130"/>
      <c r="P161" s="130"/>
      <c r="Q161" s="130"/>
      <c r="R161" s="130"/>
      <c r="S161" s="129"/>
      <c r="T161" s="129"/>
      <c r="U161" s="129"/>
      <c r="V161" s="130"/>
      <c r="W161" s="130"/>
      <c r="X161" s="130"/>
      <c r="Y161" s="130"/>
      <c r="Z161" s="152"/>
      <c r="AA161" s="130"/>
      <c r="AB161" s="130"/>
      <c r="AC161" s="130"/>
    </row>
    <row r="162" spans="1:29" ht="12.75" customHeight="1" x14ac:dyDescent="0.2">
      <c r="A162" s="129"/>
      <c r="B162" s="129"/>
      <c r="C162" s="143"/>
      <c r="D162" s="138"/>
      <c r="E162" s="129"/>
      <c r="F162" s="138"/>
      <c r="G162" s="138"/>
      <c r="H162" s="138"/>
      <c r="I162" s="138"/>
      <c r="J162" s="138"/>
      <c r="K162" s="130"/>
      <c r="L162" s="130"/>
      <c r="M162" s="130"/>
      <c r="N162" s="130"/>
      <c r="O162" s="130"/>
      <c r="P162" s="130"/>
      <c r="Q162" s="130"/>
      <c r="R162" s="130"/>
      <c r="S162" s="129"/>
      <c r="T162" s="129"/>
      <c r="U162" s="129"/>
      <c r="V162" s="130"/>
      <c r="W162" s="130"/>
      <c r="X162" s="130"/>
      <c r="Y162" s="130"/>
      <c r="Z162" s="152"/>
      <c r="AA162" s="130"/>
      <c r="AB162" s="130"/>
      <c r="AC162" s="130"/>
    </row>
    <row r="163" spans="1:29" ht="12.75" customHeight="1" x14ac:dyDescent="0.2">
      <c r="A163" s="129"/>
      <c r="B163" s="129"/>
      <c r="C163" s="143"/>
      <c r="D163" s="138"/>
      <c r="E163" s="129"/>
      <c r="F163" s="138"/>
      <c r="G163" s="138"/>
      <c r="H163" s="138"/>
      <c r="I163" s="138"/>
      <c r="J163" s="138"/>
      <c r="K163" s="130"/>
      <c r="L163" s="130"/>
      <c r="M163" s="130"/>
      <c r="N163" s="130"/>
      <c r="O163" s="130"/>
      <c r="P163" s="130"/>
      <c r="Q163" s="130"/>
      <c r="R163" s="130"/>
      <c r="S163" s="129"/>
      <c r="T163" s="129"/>
      <c r="U163" s="129"/>
      <c r="V163" s="130"/>
      <c r="W163" s="130"/>
      <c r="X163" s="130"/>
      <c r="Y163" s="130"/>
      <c r="Z163" s="152"/>
      <c r="AA163" s="130"/>
      <c r="AB163" s="130"/>
      <c r="AC163" s="130"/>
    </row>
    <row r="164" spans="1:29" ht="12.75" customHeight="1" x14ac:dyDescent="0.2">
      <c r="A164" s="129"/>
      <c r="B164" s="129"/>
      <c r="C164" s="143"/>
      <c r="D164" s="138"/>
      <c r="E164" s="129"/>
      <c r="F164" s="138"/>
      <c r="G164" s="138"/>
      <c r="H164" s="138"/>
      <c r="I164" s="138"/>
      <c r="J164" s="138"/>
      <c r="K164" s="130"/>
      <c r="L164" s="130"/>
      <c r="M164" s="130"/>
      <c r="N164" s="130"/>
      <c r="O164" s="130"/>
      <c r="P164" s="130"/>
      <c r="Q164" s="130"/>
      <c r="R164" s="130"/>
      <c r="S164" s="129"/>
      <c r="T164" s="129"/>
      <c r="U164" s="129"/>
      <c r="V164" s="130"/>
      <c r="W164" s="130"/>
      <c r="X164" s="130"/>
      <c r="Y164" s="130"/>
      <c r="Z164" s="152"/>
      <c r="AA164" s="130"/>
      <c r="AB164" s="130"/>
      <c r="AC164" s="130"/>
    </row>
    <row r="165" spans="1:29" ht="12.75" customHeight="1" x14ac:dyDescent="0.2">
      <c r="A165" s="129"/>
      <c r="B165" s="129"/>
      <c r="C165" s="143"/>
      <c r="D165" s="138"/>
      <c r="E165" s="129"/>
      <c r="F165" s="138"/>
      <c r="G165" s="138"/>
      <c r="H165" s="138"/>
      <c r="I165" s="138"/>
      <c r="J165" s="138"/>
      <c r="K165" s="130"/>
      <c r="L165" s="130"/>
      <c r="M165" s="130"/>
      <c r="N165" s="130"/>
      <c r="O165" s="130"/>
      <c r="P165" s="130"/>
      <c r="Q165" s="130"/>
      <c r="R165" s="130"/>
      <c r="S165" s="129"/>
      <c r="T165" s="129"/>
      <c r="U165" s="129"/>
      <c r="V165" s="130"/>
      <c r="W165" s="130"/>
      <c r="X165" s="130"/>
      <c r="Y165" s="130"/>
      <c r="Z165" s="152"/>
      <c r="AA165" s="130"/>
      <c r="AB165" s="130"/>
      <c r="AC165" s="130"/>
    </row>
    <row r="166" spans="1:29" ht="12.75" customHeight="1" x14ac:dyDescent="0.2">
      <c r="A166" s="129"/>
      <c r="B166" s="129"/>
      <c r="C166" s="143"/>
      <c r="D166" s="138"/>
      <c r="E166" s="129"/>
      <c r="F166" s="138"/>
      <c r="G166" s="138"/>
      <c r="H166" s="138"/>
      <c r="I166" s="138"/>
      <c r="J166" s="138"/>
      <c r="K166" s="130"/>
      <c r="L166" s="130"/>
      <c r="M166" s="130"/>
      <c r="N166" s="130"/>
      <c r="O166" s="130"/>
      <c r="P166" s="130"/>
      <c r="Q166" s="130"/>
      <c r="R166" s="130"/>
      <c r="S166" s="129"/>
      <c r="T166" s="129"/>
      <c r="U166" s="129"/>
      <c r="V166" s="130"/>
      <c r="W166" s="130"/>
      <c r="X166" s="130"/>
      <c r="Y166" s="130"/>
      <c r="Z166" s="152"/>
      <c r="AA166" s="130"/>
      <c r="AB166" s="130"/>
      <c r="AC166" s="130"/>
    </row>
    <row r="167" spans="1:29" ht="12.75" customHeight="1" x14ac:dyDescent="0.2">
      <c r="A167" s="129"/>
      <c r="B167" s="129"/>
      <c r="C167" s="143"/>
      <c r="D167" s="138"/>
      <c r="E167" s="129"/>
      <c r="F167" s="138"/>
      <c r="G167" s="138"/>
      <c r="H167" s="138"/>
      <c r="I167" s="138"/>
      <c r="J167" s="138"/>
      <c r="K167" s="130"/>
      <c r="L167" s="130"/>
      <c r="M167" s="130"/>
      <c r="N167" s="130"/>
      <c r="O167" s="130"/>
      <c r="P167" s="130"/>
      <c r="Q167" s="130"/>
      <c r="R167" s="130"/>
      <c r="S167" s="129"/>
      <c r="T167" s="129"/>
      <c r="U167" s="129"/>
      <c r="V167" s="130"/>
      <c r="W167" s="130"/>
      <c r="X167" s="130"/>
      <c r="Y167" s="130"/>
      <c r="Z167" s="152"/>
      <c r="AA167" s="130"/>
      <c r="AB167" s="130"/>
      <c r="AC167" s="130"/>
    </row>
    <row r="168" spans="1:29" ht="12.75" customHeight="1" x14ac:dyDescent="0.2">
      <c r="A168" s="129"/>
      <c r="B168" s="129"/>
      <c r="C168" s="143"/>
      <c r="D168" s="138"/>
      <c r="E168" s="129"/>
      <c r="F168" s="138"/>
      <c r="G168" s="138"/>
      <c r="H168" s="138"/>
      <c r="I168" s="138"/>
      <c r="J168" s="138"/>
      <c r="K168" s="130"/>
      <c r="L168" s="130"/>
      <c r="M168" s="130"/>
      <c r="N168" s="130"/>
      <c r="O168" s="130"/>
      <c r="P168" s="130"/>
      <c r="Q168" s="130"/>
      <c r="R168" s="130"/>
      <c r="S168" s="129"/>
      <c r="T168" s="129"/>
      <c r="U168" s="129"/>
      <c r="V168" s="130"/>
      <c r="W168" s="130"/>
      <c r="X168" s="130"/>
      <c r="Y168" s="130"/>
      <c r="Z168" s="152"/>
      <c r="AA168" s="130"/>
      <c r="AB168" s="130"/>
      <c r="AC168" s="130"/>
    </row>
    <row r="169" spans="1:29" ht="12.75" customHeight="1" x14ac:dyDescent="0.2">
      <c r="A169" s="129"/>
      <c r="B169" s="129"/>
      <c r="C169" s="143"/>
      <c r="D169" s="138"/>
      <c r="E169" s="129"/>
      <c r="F169" s="138"/>
      <c r="G169" s="138"/>
      <c r="H169" s="138"/>
      <c r="I169" s="138"/>
      <c r="J169" s="138"/>
      <c r="K169" s="130"/>
      <c r="L169" s="130"/>
      <c r="M169" s="130"/>
      <c r="N169" s="130"/>
      <c r="O169" s="130"/>
      <c r="P169" s="130"/>
      <c r="Q169" s="130"/>
      <c r="R169" s="130"/>
      <c r="S169" s="129"/>
      <c r="T169" s="129"/>
      <c r="U169" s="129"/>
      <c r="V169" s="130"/>
      <c r="W169" s="130"/>
      <c r="X169" s="130"/>
      <c r="Y169" s="130"/>
      <c r="Z169" s="152"/>
      <c r="AA169" s="130"/>
      <c r="AB169" s="130"/>
      <c r="AC169" s="130"/>
    </row>
    <row r="170" spans="1:29" ht="12.75" customHeight="1" x14ac:dyDescent="0.2">
      <c r="A170" s="129"/>
      <c r="B170" s="129"/>
      <c r="C170" s="143"/>
      <c r="D170" s="138"/>
      <c r="E170" s="129"/>
      <c r="F170" s="138"/>
      <c r="G170" s="138"/>
      <c r="H170" s="138"/>
      <c r="I170" s="138"/>
      <c r="J170" s="138"/>
      <c r="K170" s="130"/>
      <c r="L170" s="130"/>
      <c r="M170" s="130"/>
      <c r="N170" s="130"/>
      <c r="O170" s="130"/>
      <c r="P170" s="130"/>
      <c r="Q170" s="130"/>
      <c r="R170" s="130"/>
      <c r="S170" s="129"/>
      <c r="T170" s="129"/>
      <c r="U170" s="129"/>
      <c r="V170" s="130"/>
      <c r="W170" s="130"/>
      <c r="X170" s="130"/>
      <c r="Y170" s="130"/>
      <c r="Z170" s="152"/>
      <c r="AA170" s="130"/>
      <c r="AB170" s="130"/>
      <c r="AC170" s="130"/>
    </row>
    <row r="171" spans="1:29" ht="12.75" customHeight="1" x14ac:dyDescent="0.2">
      <c r="A171" s="129"/>
      <c r="B171" s="129"/>
      <c r="C171" s="143"/>
      <c r="D171" s="138"/>
      <c r="E171" s="129"/>
      <c r="F171" s="138"/>
      <c r="G171" s="138"/>
      <c r="H171" s="138"/>
      <c r="I171" s="138"/>
      <c r="J171" s="138"/>
      <c r="K171" s="130"/>
      <c r="L171" s="130"/>
      <c r="M171" s="130"/>
      <c r="N171" s="130"/>
      <c r="O171" s="130"/>
      <c r="P171" s="130"/>
      <c r="Q171" s="130"/>
      <c r="R171" s="130"/>
      <c r="S171" s="129"/>
      <c r="T171" s="129"/>
      <c r="U171" s="129"/>
      <c r="V171" s="130"/>
      <c r="W171" s="130"/>
      <c r="X171" s="130"/>
      <c r="Y171" s="130"/>
      <c r="Z171" s="152"/>
      <c r="AA171" s="130"/>
      <c r="AB171" s="130"/>
      <c r="AC171" s="130"/>
    </row>
    <row r="172" spans="1:29" ht="12.75" customHeight="1" x14ac:dyDescent="0.2">
      <c r="A172" s="129"/>
      <c r="B172" s="129"/>
      <c r="C172" s="143"/>
      <c r="D172" s="138"/>
      <c r="E172" s="129"/>
      <c r="F172" s="138"/>
      <c r="G172" s="138"/>
      <c r="H172" s="138"/>
      <c r="I172" s="138"/>
      <c r="J172" s="138"/>
      <c r="K172" s="130"/>
      <c r="L172" s="130"/>
      <c r="M172" s="130"/>
      <c r="N172" s="130"/>
      <c r="O172" s="130"/>
      <c r="P172" s="130"/>
      <c r="Q172" s="130"/>
      <c r="R172" s="130"/>
      <c r="S172" s="129"/>
      <c r="T172" s="129"/>
      <c r="U172" s="129"/>
      <c r="V172" s="130"/>
      <c r="W172" s="130"/>
      <c r="X172" s="130"/>
      <c r="Y172" s="130"/>
      <c r="Z172" s="152"/>
      <c r="AA172" s="130"/>
      <c r="AB172" s="130"/>
      <c r="AC172" s="130"/>
    </row>
    <row r="173" spans="1:29" ht="12.75" customHeight="1" x14ac:dyDescent="0.2">
      <c r="A173" s="129"/>
      <c r="B173" s="129"/>
      <c r="C173" s="143"/>
      <c r="D173" s="138"/>
      <c r="E173" s="129"/>
      <c r="F173" s="138"/>
      <c r="G173" s="138"/>
      <c r="H173" s="138"/>
      <c r="I173" s="138"/>
      <c r="J173" s="138"/>
      <c r="K173" s="130"/>
      <c r="L173" s="130"/>
      <c r="M173" s="130"/>
      <c r="N173" s="130"/>
      <c r="O173" s="130"/>
      <c r="P173" s="130"/>
      <c r="Q173" s="130"/>
      <c r="R173" s="130"/>
      <c r="S173" s="129"/>
      <c r="T173" s="129"/>
      <c r="U173" s="129"/>
      <c r="V173" s="130"/>
      <c r="W173" s="130"/>
      <c r="X173" s="130"/>
      <c r="Y173" s="130"/>
      <c r="Z173" s="152"/>
      <c r="AA173" s="130"/>
      <c r="AB173" s="130"/>
      <c r="AC173" s="130"/>
    </row>
    <row r="174" spans="1:29" ht="12.75" customHeight="1" x14ac:dyDescent="0.2">
      <c r="A174" s="129"/>
      <c r="B174" s="129"/>
      <c r="C174" s="143"/>
      <c r="D174" s="138"/>
      <c r="E174" s="129"/>
      <c r="F174" s="138"/>
      <c r="G174" s="138"/>
      <c r="H174" s="138"/>
      <c r="I174" s="138"/>
      <c r="J174" s="138"/>
      <c r="K174" s="130"/>
      <c r="L174" s="130"/>
      <c r="M174" s="130"/>
      <c r="N174" s="130"/>
      <c r="O174" s="130"/>
      <c r="P174" s="130"/>
      <c r="Q174" s="130"/>
      <c r="R174" s="130"/>
      <c r="S174" s="129"/>
      <c r="T174" s="129"/>
      <c r="U174" s="129"/>
      <c r="V174" s="130"/>
      <c r="W174" s="130"/>
      <c r="X174" s="130"/>
      <c r="Y174" s="130"/>
      <c r="Z174" s="152"/>
      <c r="AA174" s="130"/>
      <c r="AB174" s="130"/>
      <c r="AC174" s="130"/>
    </row>
    <row r="175" spans="1:29" ht="12.75" customHeight="1" x14ac:dyDescent="0.2">
      <c r="A175" s="129"/>
      <c r="B175" s="129"/>
      <c r="C175" s="143"/>
      <c r="D175" s="138"/>
      <c r="E175" s="129"/>
      <c r="F175" s="138"/>
      <c r="G175" s="138"/>
      <c r="H175" s="138"/>
      <c r="I175" s="138"/>
      <c r="J175" s="138"/>
      <c r="K175" s="130"/>
      <c r="L175" s="130"/>
      <c r="M175" s="130"/>
      <c r="N175" s="130"/>
      <c r="O175" s="130"/>
      <c r="P175" s="130"/>
      <c r="Q175" s="130"/>
      <c r="R175" s="130"/>
      <c r="S175" s="129"/>
      <c r="T175" s="129"/>
      <c r="U175" s="129"/>
      <c r="V175" s="130"/>
      <c r="W175" s="130"/>
      <c r="X175" s="130"/>
      <c r="Y175" s="130"/>
      <c r="Z175" s="152"/>
      <c r="AA175" s="130"/>
      <c r="AB175" s="130"/>
      <c r="AC175" s="130"/>
    </row>
    <row r="176" spans="1:29" ht="12.75" customHeight="1" x14ac:dyDescent="0.2">
      <c r="A176" s="129"/>
      <c r="B176" s="129"/>
      <c r="C176" s="143"/>
      <c r="D176" s="138"/>
      <c r="E176" s="129"/>
      <c r="F176" s="138"/>
      <c r="G176" s="138"/>
      <c r="H176" s="138"/>
      <c r="I176" s="138"/>
      <c r="J176" s="138"/>
      <c r="K176" s="130"/>
      <c r="L176" s="130"/>
      <c r="M176" s="130"/>
      <c r="N176" s="130"/>
      <c r="O176" s="130"/>
      <c r="P176" s="130"/>
      <c r="Q176" s="130"/>
      <c r="R176" s="130"/>
      <c r="S176" s="129"/>
      <c r="T176" s="129"/>
      <c r="U176" s="129"/>
      <c r="V176" s="130"/>
      <c r="W176" s="130"/>
      <c r="X176" s="130"/>
      <c r="Y176" s="130"/>
      <c r="Z176" s="152"/>
      <c r="AA176" s="130"/>
      <c r="AB176" s="130"/>
      <c r="AC176" s="130"/>
    </row>
    <row r="177" spans="1:29" ht="12.75" customHeight="1" x14ac:dyDescent="0.2">
      <c r="A177" s="129"/>
      <c r="B177" s="129"/>
      <c r="C177" s="143"/>
      <c r="D177" s="138"/>
      <c r="E177" s="129"/>
      <c r="F177" s="138"/>
      <c r="G177" s="138"/>
      <c r="H177" s="138"/>
      <c r="I177" s="138"/>
      <c r="J177" s="138"/>
      <c r="K177" s="130"/>
      <c r="L177" s="130"/>
      <c r="M177" s="130"/>
      <c r="N177" s="130"/>
      <c r="O177" s="130"/>
      <c r="P177" s="130"/>
      <c r="Q177" s="130"/>
      <c r="R177" s="130"/>
      <c r="S177" s="129"/>
      <c r="T177" s="129"/>
      <c r="U177" s="129"/>
      <c r="V177" s="130"/>
      <c r="W177" s="130"/>
      <c r="X177" s="130"/>
      <c r="Y177" s="130"/>
      <c r="Z177" s="152"/>
      <c r="AA177" s="130"/>
      <c r="AB177" s="130"/>
      <c r="AC177" s="130"/>
    </row>
    <row r="178" spans="1:29" ht="12.75" customHeight="1" x14ac:dyDescent="0.2">
      <c r="A178" s="129"/>
      <c r="B178" s="129"/>
      <c r="C178" s="143"/>
      <c r="D178" s="138"/>
      <c r="E178" s="129"/>
      <c r="F178" s="138"/>
      <c r="G178" s="138"/>
      <c r="H178" s="138"/>
      <c r="I178" s="138"/>
      <c r="J178" s="138"/>
      <c r="K178" s="130"/>
      <c r="L178" s="130"/>
      <c r="M178" s="130"/>
      <c r="N178" s="130"/>
      <c r="O178" s="130"/>
      <c r="P178" s="130"/>
      <c r="Q178" s="130"/>
      <c r="R178" s="130"/>
      <c r="S178" s="129"/>
      <c r="T178" s="129"/>
      <c r="U178" s="129"/>
      <c r="V178" s="130"/>
      <c r="W178" s="130"/>
      <c r="X178" s="130"/>
      <c r="Y178" s="130"/>
      <c r="Z178" s="152"/>
      <c r="AA178" s="130"/>
      <c r="AB178" s="130"/>
      <c r="AC178" s="130"/>
    </row>
    <row r="179" spans="1:29" ht="12.75" customHeight="1" x14ac:dyDescent="0.2">
      <c r="A179" s="129"/>
      <c r="B179" s="129"/>
      <c r="C179" s="143"/>
      <c r="D179" s="138"/>
      <c r="E179" s="129"/>
      <c r="F179" s="138"/>
      <c r="G179" s="138"/>
      <c r="H179" s="138"/>
      <c r="I179" s="138"/>
      <c r="J179" s="138"/>
      <c r="K179" s="130"/>
      <c r="L179" s="130"/>
      <c r="M179" s="130"/>
      <c r="N179" s="130"/>
      <c r="O179" s="130"/>
      <c r="P179" s="130"/>
      <c r="Q179" s="130"/>
      <c r="R179" s="130"/>
      <c r="S179" s="129"/>
      <c r="T179" s="129"/>
      <c r="U179" s="129"/>
      <c r="V179" s="130"/>
      <c r="W179" s="130"/>
      <c r="X179" s="130"/>
      <c r="Y179" s="130"/>
      <c r="Z179" s="152"/>
      <c r="AA179" s="130"/>
      <c r="AB179" s="130"/>
      <c r="AC179" s="130"/>
    </row>
    <row r="180" spans="1:29" ht="12.75" customHeight="1" x14ac:dyDescent="0.2">
      <c r="A180" s="129"/>
      <c r="B180" s="129"/>
      <c r="C180" s="143"/>
      <c r="D180" s="138"/>
      <c r="E180" s="129"/>
      <c r="F180" s="138"/>
      <c r="G180" s="138"/>
      <c r="H180" s="138"/>
      <c r="I180" s="138"/>
      <c r="J180" s="138"/>
      <c r="K180" s="130"/>
      <c r="L180" s="130"/>
      <c r="M180" s="130"/>
      <c r="N180" s="130"/>
      <c r="O180" s="130"/>
      <c r="P180" s="130"/>
      <c r="Q180" s="130"/>
      <c r="R180" s="130"/>
      <c r="S180" s="129"/>
      <c r="T180" s="129"/>
      <c r="U180" s="129"/>
      <c r="V180" s="130"/>
      <c r="W180" s="130"/>
      <c r="X180" s="130"/>
      <c r="Y180" s="130"/>
      <c r="Z180" s="152"/>
      <c r="AA180" s="130"/>
      <c r="AB180" s="130"/>
      <c r="AC180" s="130"/>
    </row>
    <row r="181" spans="1:29" ht="12.75" customHeight="1" x14ac:dyDescent="0.2">
      <c r="A181" s="129"/>
      <c r="B181" s="129"/>
      <c r="C181" s="143"/>
      <c r="D181" s="138"/>
      <c r="E181" s="129"/>
      <c r="F181" s="138"/>
      <c r="G181" s="138"/>
      <c r="H181" s="138"/>
      <c r="I181" s="138"/>
      <c r="J181" s="138"/>
      <c r="K181" s="130"/>
      <c r="L181" s="130"/>
      <c r="M181" s="130"/>
      <c r="N181" s="130"/>
      <c r="O181" s="130"/>
      <c r="P181" s="130"/>
      <c r="Q181" s="130"/>
      <c r="R181" s="130"/>
      <c r="S181" s="129"/>
      <c r="T181" s="129"/>
      <c r="U181" s="129"/>
      <c r="V181" s="130"/>
      <c r="W181" s="130"/>
      <c r="X181" s="130"/>
      <c r="Y181" s="130"/>
      <c r="Z181" s="152"/>
      <c r="AA181" s="130"/>
      <c r="AB181" s="130"/>
      <c r="AC181" s="130"/>
    </row>
    <row r="182" spans="1:29" ht="12.75" customHeight="1" x14ac:dyDescent="0.2">
      <c r="A182" s="129"/>
      <c r="B182" s="129"/>
      <c r="C182" s="143"/>
      <c r="D182" s="138"/>
      <c r="E182" s="129"/>
      <c r="F182" s="138"/>
      <c r="G182" s="138"/>
      <c r="H182" s="138"/>
      <c r="I182" s="138"/>
      <c r="J182" s="138"/>
      <c r="K182" s="130"/>
      <c r="L182" s="130"/>
      <c r="M182" s="130"/>
      <c r="N182" s="130"/>
      <c r="O182" s="130"/>
      <c r="P182" s="130"/>
      <c r="Q182" s="130"/>
      <c r="R182" s="130"/>
      <c r="S182" s="129"/>
      <c r="T182" s="129"/>
      <c r="U182" s="129"/>
      <c r="V182" s="130"/>
      <c r="W182" s="130"/>
      <c r="X182" s="130"/>
      <c r="Y182" s="130"/>
      <c r="Z182" s="152"/>
      <c r="AA182" s="130"/>
      <c r="AB182" s="130"/>
      <c r="AC182" s="130"/>
    </row>
    <row r="183" spans="1:29" ht="12.75" customHeight="1" x14ac:dyDescent="0.2">
      <c r="A183" s="129"/>
      <c r="B183" s="129"/>
      <c r="C183" s="143"/>
      <c r="D183" s="138"/>
      <c r="E183" s="129"/>
      <c r="F183" s="138"/>
      <c r="G183" s="138"/>
      <c r="H183" s="138"/>
      <c r="I183" s="138"/>
      <c r="J183" s="138"/>
      <c r="K183" s="130"/>
      <c r="L183" s="130"/>
      <c r="M183" s="130"/>
      <c r="N183" s="130"/>
      <c r="O183" s="130"/>
      <c r="P183" s="130"/>
      <c r="Q183" s="130"/>
      <c r="R183" s="130"/>
      <c r="S183" s="129"/>
      <c r="T183" s="129"/>
      <c r="U183" s="129"/>
      <c r="V183" s="130"/>
      <c r="W183" s="130"/>
      <c r="X183" s="130"/>
      <c r="Y183" s="130"/>
      <c r="Z183" s="152"/>
      <c r="AA183" s="130"/>
      <c r="AB183" s="130"/>
      <c r="AC183" s="130"/>
    </row>
    <row r="184" spans="1:29" ht="12.75" customHeight="1" x14ac:dyDescent="0.2">
      <c r="A184" s="129"/>
      <c r="B184" s="129"/>
      <c r="C184" s="143"/>
      <c r="D184" s="138"/>
      <c r="E184" s="129"/>
      <c r="F184" s="138"/>
      <c r="G184" s="138"/>
      <c r="H184" s="138"/>
      <c r="I184" s="138"/>
      <c r="J184" s="138"/>
      <c r="K184" s="130"/>
      <c r="L184" s="130"/>
      <c r="M184" s="130"/>
      <c r="N184" s="130"/>
      <c r="O184" s="130"/>
      <c r="P184" s="130"/>
      <c r="Q184" s="130"/>
      <c r="R184" s="130"/>
      <c r="S184" s="129"/>
      <c r="T184" s="129"/>
      <c r="U184" s="129"/>
      <c r="V184" s="130"/>
      <c r="W184" s="130"/>
      <c r="X184" s="130"/>
      <c r="Y184" s="130"/>
      <c r="Z184" s="152"/>
      <c r="AA184" s="130"/>
      <c r="AB184" s="130"/>
      <c r="AC184" s="130"/>
    </row>
    <row r="185" spans="1:29" ht="12.75" customHeight="1" x14ac:dyDescent="0.2">
      <c r="A185" s="129"/>
      <c r="B185" s="129"/>
      <c r="C185" s="143"/>
      <c r="D185" s="138"/>
      <c r="E185" s="129"/>
      <c r="F185" s="138"/>
      <c r="G185" s="138"/>
      <c r="H185" s="138"/>
      <c r="I185" s="138"/>
      <c r="J185" s="138"/>
      <c r="K185" s="130"/>
      <c r="L185" s="130"/>
      <c r="M185" s="130"/>
      <c r="N185" s="130"/>
      <c r="O185" s="130"/>
      <c r="P185" s="130"/>
      <c r="Q185" s="130"/>
      <c r="R185" s="130"/>
      <c r="S185" s="129"/>
      <c r="T185" s="129"/>
      <c r="U185" s="129"/>
      <c r="V185" s="130"/>
      <c r="W185" s="130"/>
      <c r="X185" s="130"/>
      <c r="Y185" s="130"/>
      <c r="Z185" s="152"/>
      <c r="AA185" s="130"/>
      <c r="AB185" s="130"/>
      <c r="AC185" s="130"/>
    </row>
    <row r="186" spans="1:29" ht="12.75" customHeight="1" x14ac:dyDescent="0.2">
      <c r="A186" s="129"/>
      <c r="B186" s="129"/>
      <c r="C186" s="143"/>
      <c r="D186" s="138"/>
      <c r="E186" s="129"/>
      <c r="F186" s="138"/>
      <c r="G186" s="138"/>
      <c r="H186" s="138"/>
      <c r="I186" s="138"/>
      <c r="J186" s="138"/>
      <c r="K186" s="130"/>
      <c r="L186" s="130"/>
      <c r="M186" s="130"/>
      <c r="N186" s="130"/>
      <c r="O186" s="130"/>
      <c r="P186" s="130"/>
      <c r="Q186" s="130"/>
      <c r="R186" s="130"/>
      <c r="S186" s="129"/>
      <c r="T186" s="129"/>
      <c r="U186" s="129"/>
      <c r="V186" s="130"/>
      <c r="W186" s="130"/>
      <c r="X186" s="130"/>
      <c r="Y186" s="130"/>
      <c r="Z186" s="152"/>
      <c r="AA186" s="130"/>
      <c r="AB186" s="130"/>
      <c r="AC186" s="130"/>
    </row>
    <row r="187" spans="1:29" ht="12.75" customHeight="1" x14ac:dyDescent="0.2">
      <c r="A187" s="129"/>
      <c r="B187" s="129"/>
      <c r="C187" s="143"/>
      <c r="D187" s="138"/>
      <c r="E187" s="129"/>
      <c r="F187" s="138"/>
      <c r="G187" s="138"/>
      <c r="H187" s="138"/>
      <c r="I187" s="138"/>
      <c r="J187" s="138"/>
      <c r="K187" s="130"/>
      <c r="L187" s="130"/>
      <c r="M187" s="130"/>
      <c r="N187" s="130"/>
      <c r="O187" s="130"/>
      <c r="P187" s="130"/>
      <c r="Q187" s="130"/>
      <c r="R187" s="130"/>
      <c r="S187" s="129"/>
      <c r="T187" s="129"/>
      <c r="U187" s="129"/>
      <c r="V187" s="130"/>
      <c r="W187" s="130"/>
      <c r="X187" s="130"/>
      <c r="Y187" s="130"/>
      <c r="Z187" s="152"/>
      <c r="AA187" s="130"/>
      <c r="AB187" s="130"/>
      <c r="AC187" s="130"/>
    </row>
    <row r="188" spans="1:29" ht="12.75" customHeight="1" x14ac:dyDescent="0.2">
      <c r="A188" s="129"/>
      <c r="B188" s="129"/>
      <c r="C188" s="143"/>
      <c r="D188" s="138"/>
      <c r="E188" s="129"/>
      <c r="F188" s="138"/>
      <c r="G188" s="138"/>
      <c r="H188" s="138"/>
      <c r="I188" s="138"/>
      <c r="J188" s="138"/>
      <c r="K188" s="130"/>
      <c r="L188" s="130"/>
      <c r="M188" s="130"/>
      <c r="N188" s="130"/>
      <c r="O188" s="130"/>
      <c r="P188" s="130"/>
      <c r="Q188" s="130"/>
      <c r="R188" s="130"/>
      <c r="S188" s="129"/>
      <c r="T188" s="129"/>
      <c r="U188" s="129"/>
      <c r="V188" s="130"/>
      <c r="W188" s="130"/>
      <c r="X188" s="130"/>
      <c r="Y188" s="130"/>
      <c r="Z188" s="152"/>
      <c r="AA188" s="130"/>
      <c r="AB188" s="130"/>
      <c r="AC188" s="130"/>
    </row>
    <row r="189" spans="1:29" ht="12.75" customHeight="1" x14ac:dyDescent="0.2">
      <c r="A189" s="129"/>
      <c r="B189" s="129"/>
      <c r="C189" s="143"/>
      <c r="D189" s="138"/>
      <c r="E189" s="129"/>
      <c r="F189" s="138"/>
      <c r="G189" s="138"/>
      <c r="H189" s="138"/>
      <c r="I189" s="138"/>
      <c r="J189" s="138"/>
      <c r="K189" s="130"/>
      <c r="L189" s="130"/>
      <c r="M189" s="130"/>
      <c r="N189" s="130"/>
      <c r="O189" s="130"/>
      <c r="P189" s="130"/>
      <c r="Q189" s="130"/>
      <c r="R189" s="130"/>
      <c r="S189" s="129"/>
      <c r="T189" s="129"/>
      <c r="U189" s="129"/>
      <c r="V189" s="130"/>
      <c r="W189" s="130"/>
      <c r="X189" s="130"/>
      <c r="Y189" s="130"/>
      <c r="Z189" s="152"/>
      <c r="AA189" s="130"/>
      <c r="AB189" s="130"/>
      <c r="AC189" s="130"/>
    </row>
    <row r="190" spans="1:29" ht="12.75" customHeight="1" x14ac:dyDescent="0.2">
      <c r="A190" s="129"/>
      <c r="B190" s="129"/>
      <c r="C190" s="143"/>
      <c r="D190" s="138"/>
      <c r="E190" s="129"/>
      <c r="F190" s="138"/>
      <c r="G190" s="138"/>
      <c r="H190" s="138"/>
      <c r="I190" s="138"/>
      <c r="J190" s="138"/>
      <c r="K190" s="130"/>
      <c r="L190" s="130"/>
      <c r="M190" s="130"/>
      <c r="N190" s="130"/>
      <c r="O190" s="130"/>
      <c r="P190" s="130"/>
      <c r="Q190" s="130"/>
      <c r="R190" s="130"/>
      <c r="S190" s="129"/>
      <c r="T190" s="129"/>
      <c r="U190" s="129"/>
      <c r="V190" s="130"/>
      <c r="W190" s="130"/>
      <c r="X190" s="130"/>
      <c r="Y190" s="130"/>
      <c r="Z190" s="152"/>
      <c r="AA190" s="130"/>
      <c r="AB190" s="130"/>
      <c r="AC190" s="130"/>
    </row>
    <row r="191" spans="1:29" ht="12.75" customHeight="1" x14ac:dyDescent="0.2">
      <c r="A191" s="129"/>
      <c r="B191" s="129"/>
      <c r="C191" s="143"/>
      <c r="D191" s="138"/>
      <c r="E191" s="129"/>
      <c r="F191" s="138"/>
      <c r="G191" s="138"/>
      <c r="H191" s="138"/>
      <c r="I191" s="138"/>
      <c r="J191" s="138"/>
      <c r="K191" s="130"/>
      <c r="L191" s="130"/>
      <c r="M191" s="130"/>
      <c r="N191" s="130"/>
      <c r="O191" s="130"/>
      <c r="P191" s="130"/>
      <c r="Q191" s="130"/>
      <c r="R191" s="130"/>
      <c r="S191" s="129"/>
      <c r="T191" s="129"/>
      <c r="U191" s="129"/>
      <c r="V191" s="130"/>
      <c r="W191" s="130"/>
      <c r="X191" s="130"/>
      <c r="Y191" s="130"/>
      <c r="Z191" s="152"/>
      <c r="AA191" s="130"/>
      <c r="AB191" s="130"/>
      <c r="AC191" s="130"/>
    </row>
    <row r="192" spans="1:29" ht="12.75" customHeight="1" x14ac:dyDescent="0.2">
      <c r="A192" s="129"/>
      <c r="B192" s="129"/>
      <c r="C192" s="143"/>
      <c r="D192" s="138"/>
      <c r="E192" s="129"/>
      <c r="F192" s="138"/>
      <c r="G192" s="138"/>
      <c r="H192" s="138"/>
      <c r="I192" s="138"/>
      <c r="J192" s="138"/>
      <c r="K192" s="130"/>
      <c r="L192" s="130"/>
      <c r="M192" s="130"/>
      <c r="N192" s="130"/>
      <c r="O192" s="130"/>
      <c r="P192" s="130"/>
      <c r="Q192" s="130"/>
      <c r="R192" s="130"/>
      <c r="S192" s="129"/>
      <c r="T192" s="129"/>
      <c r="U192" s="129"/>
      <c r="V192" s="130"/>
      <c r="W192" s="130"/>
      <c r="X192" s="130"/>
      <c r="Y192" s="130"/>
      <c r="Z192" s="152"/>
      <c r="AA192" s="130"/>
      <c r="AB192" s="130"/>
      <c r="AC192" s="130"/>
    </row>
    <row r="193" spans="1:29" ht="12.75" customHeight="1" x14ac:dyDescent="0.2">
      <c r="A193" s="129"/>
      <c r="B193" s="129"/>
      <c r="C193" s="143"/>
      <c r="D193" s="138"/>
      <c r="E193" s="129"/>
      <c r="F193" s="138"/>
      <c r="G193" s="138"/>
      <c r="H193" s="138"/>
      <c r="I193" s="138"/>
      <c r="J193" s="138"/>
      <c r="K193" s="130"/>
      <c r="L193" s="130"/>
      <c r="M193" s="130"/>
      <c r="N193" s="130"/>
      <c r="O193" s="130"/>
      <c r="P193" s="130"/>
      <c r="Q193" s="130"/>
      <c r="R193" s="130"/>
      <c r="S193" s="129"/>
      <c r="T193" s="129"/>
      <c r="U193" s="129"/>
      <c r="V193" s="130"/>
      <c r="W193" s="130"/>
      <c r="X193" s="130"/>
      <c r="Y193" s="130"/>
      <c r="Z193" s="152"/>
      <c r="AA193" s="130"/>
      <c r="AB193" s="130"/>
      <c r="AC193" s="130"/>
    </row>
    <row r="194" spans="1:29" ht="12.75" customHeight="1" x14ac:dyDescent="0.2">
      <c r="A194" s="129"/>
      <c r="B194" s="129"/>
      <c r="C194" s="143"/>
      <c r="D194" s="138"/>
      <c r="E194" s="129"/>
      <c r="F194" s="138"/>
      <c r="G194" s="138"/>
      <c r="H194" s="138"/>
      <c r="I194" s="138"/>
      <c r="J194" s="138"/>
      <c r="K194" s="130"/>
      <c r="L194" s="130"/>
      <c r="M194" s="130"/>
      <c r="N194" s="130"/>
      <c r="O194" s="130"/>
      <c r="P194" s="130"/>
      <c r="Q194" s="130"/>
      <c r="R194" s="130"/>
      <c r="S194" s="129"/>
      <c r="T194" s="129"/>
      <c r="U194" s="129"/>
      <c r="V194" s="130"/>
      <c r="W194" s="130"/>
      <c r="X194" s="130"/>
      <c r="Y194" s="130"/>
      <c r="Z194" s="152"/>
      <c r="AA194" s="130"/>
      <c r="AB194" s="130"/>
      <c r="AC194" s="130"/>
    </row>
    <row r="195" spans="1:29" ht="12.75" customHeight="1" x14ac:dyDescent="0.2">
      <c r="A195" s="129"/>
      <c r="B195" s="129"/>
      <c r="C195" s="143"/>
      <c r="D195" s="138"/>
      <c r="E195" s="129"/>
      <c r="F195" s="138"/>
      <c r="G195" s="138"/>
      <c r="H195" s="138"/>
      <c r="I195" s="138"/>
      <c r="J195" s="138"/>
      <c r="K195" s="130"/>
      <c r="L195" s="130"/>
      <c r="M195" s="130"/>
      <c r="N195" s="130"/>
      <c r="O195" s="130"/>
      <c r="P195" s="130"/>
      <c r="Q195" s="130"/>
      <c r="R195" s="130"/>
      <c r="S195" s="129"/>
      <c r="T195" s="129"/>
      <c r="U195" s="129"/>
      <c r="V195" s="130"/>
      <c r="W195" s="130"/>
      <c r="X195" s="130"/>
      <c r="Y195" s="130"/>
      <c r="Z195" s="152"/>
      <c r="AA195" s="130"/>
      <c r="AB195" s="130"/>
      <c r="AC195" s="130"/>
    </row>
    <row r="196" spans="1:29" ht="12.75" customHeight="1" x14ac:dyDescent="0.2">
      <c r="A196" s="129"/>
      <c r="B196" s="129"/>
      <c r="C196" s="143"/>
      <c r="D196" s="138"/>
      <c r="E196" s="129"/>
      <c r="F196" s="138"/>
      <c r="G196" s="138"/>
      <c r="H196" s="138"/>
      <c r="I196" s="138"/>
      <c r="J196" s="138"/>
      <c r="K196" s="130"/>
      <c r="L196" s="130"/>
      <c r="M196" s="130"/>
      <c r="N196" s="130"/>
      <c r="O196" s="130"/>
      <c r="P196" s="130"/>
      <c r="Q196" s="130"/>
      <c r="R196" s="130"/>
      <c r="S196" s="129"/>
      <c r="T196" s="129"/>
      <c r="U196" s="129"/>
      <c r="V196" s="130"/>
      <c r="W196" s="130"/>
      <c r="X196" s="130"/>
      <c r="Y196" s="130"/>
      <c r="Z196" s="152"/>
      <c r="AA196" s="130"/>
      <c r="AB196" s="130"/>
      <c r="AC196" s="130"/>
    </row>
    <row r="197" spans="1:29" ht="12.75" customHeight="1" x14ac:dyDescent="0.2">
      <c r="A197" s="129"/>
      <c r="B197" s="129"/>
      <c r="C197" s="143"/>
      <c r="D197" s="138"/>
      <c r="E197" s="129"/>
      <c r="F197" s="138"/>
      <c r="G197" s="138"/>
      <c r="H197" s="138"/>
      <c r="I197" s="138"/>
      <c r="J197" s="138"/>
      <c r="K197" s="130"/>
      <c r="L197" s="130"/>
      <c r="M197" s="130"/>
      <c r="N197" s="130"/>
      <c r="O197" s="130"/>
      <c r="P197" s="130"/>
      <c r="Q197" s="130"/>
      <c r="R197" s="130"/>
      <c r="S197" s="129"/>
      <c r="T197" s="129"/>
      <c r="U197" s="129"/>
      <c r="V197" s="130"/>
      <c r="W197" s="130"/>
      <c r="X197" s="130"/>
      <c r="Y197" s="130"/>
      <c r="Z197" s="152"/>
      <c r="AA197" s="130"/>
      <c r="AB197" s="130"/>
      <c r="AC197" s="130"/>
    </row>
    <row r="198" spans="1:29" ht="12.75" customHeight="1" x14ac:dyDescent="0.2">
      <c r="A198" s="129"/>
      <c r="B198" s="129"/>
      <c r="C198" s="143"/>
      <c r="D198" s="138"/>
      <c r="E198" s="129"/>
      <c r="F198" s="138"/>
      <c r="G198" s="138"/>
      <c r="H198" s="138"/>
      <c r="I198" s="138"/>
      <c r="J198" s="138"/>
      <c r="K198" s="130"/>
      <c r="L198" s="130"/>
      <c r="M198" s="130"/>
      <c r="N198" s="130"/>
      <c r="O198" s="130"/>
      <c r="P198" s="130"/>
      <c r="Q198" s="130"/>
      <c r="R198" s="130"/>
      <c r="S198" s="129"/>
      <c r="T198" s="129"/>
      <c r="U198" s="129"/>
      <c r="V198" s="130"/>
      <c r="W198" s="130"/>
      <c r="X198" s="130"/>
      <c r="Y198" s="130"/>
      <c r="Z198" s="152"/>
      <c r="AA198" s="130"/>
      <c r="AB198" s="130"/>
      <c r="AC198" s="130"/>
    </row>
    <row r="199" spans="1:29" ht="12.75" customHeight="1" x14ac:dyDescent="0.2">
      <c r="A199" s="129"/>
      <c r="B199" s="129"/>
      <c r="C199" s="143"/>
      <c r="D199" s="138"/>
      <c r="E199" s="129"/>
      <c r="F199" s="138"/>
      <c r="G199" s="138"/>
      <c r="H199" s="138"/>
      <c r="I199" s="138"/>
      <c r="J199" s="138"/>
      <c r="K199" s="130"/>
      <c r="L199" s="130"/>
      <c r="M199" s="130"/>
      <c r="N199" s="130"/>
      <c r="O199" s="130"/>
      <c r="P199" s="130"/>
      <c r="Q199" s="130"/>
      <c r="R199" s="130"/>
      <c r="S199" s="129"/>
      <c r="T199" s="129"/>
      <c r="U199" s="129"/>
      <c r="V199" s="130"/>
      <c r="W199" s="130"/>
      <c r="X199" s="130"/>
      <c r="Y199" s="130"/>
      <c r="Z199" s="152"/>
      <c r="AA199" s="130"/>
      <c r="AB199" s="130"/>
      <c r="AC199" s="130"/>
    </row>
    <row r="200" spans="1:29" ht="12.75" customHeight="1" x14ac:dyDescent="0.2">
      <c r="A200" s="129"/>
      <c r="B200" s="129"/>
      <c r="C200" s="143"/>
      <c r="D200" s="138"/>
      <c r="E200" s="129"/>
      <c r="F200" s="138"/>
      <c r="G200" s="138"/>
      <c r="H200" s="138"/>
      <c r="I200" s="138"/>
      <c r="J200" s="138"/>
      <c r="K200" s="130"/>
      <c r="L200" s="130"/>
      <c r="M200" s="130"/>
      <c r="N200" s="130"/>
      <c r="O200" s="130"/>
      <c r="P200" s="130"/>
      <c r="Q200" s="130"/>
      <c r="R200" s="130"/>
      <c r="S200" s="129"/>
      <c r="T200" s="129"/>
      <c r="U200" s="129"/>
      <c r="V200" s="130"/>
      <c r="W200" s="130"/>
      <c r="X200" s="130"/>
      <c r="Y200" s="130"/>
      <c r="Z200" s="152"/>
      <c r="AA200" s="130"/>
      <c r="AB200" s="130"/>
      <c r="AC200" s="130"/>
    </row>
    <row r="201" spans="1:29" ht="12.75" customHeight="1" x14ac:dyDescent="0.2">
      <c r="A201" s="129"/>
      <c r="B201" s="129"/>
      <c r="C201" s="143"/>
      <c r="D201" s="138"/>
      <c r="E201" s="129"/>
      <c r="F201" s="138"/>
      <c r="G201" s="138"/>
      <c r="H201" s="138"/>
      <c r="I201" s="138"/>
      <c r="J201" s="138"/>
      <c r="K201" s="130"/>
      <c r="L201" s="130"/>
      <c r="M201" s="130"/>
      <c r="N201" s="130"/>
      <c r="O201" s="130"/>
      <c r="P201" s="130"/>
      <c r="Q201" s="130"/>
      <c r="R201" s="130"/>
      <c r="S201" s="129"/>
      <c r="T201" s="129"/>
      <c r="U201" s="129"/>
      <c r="V201" s="130"/>
      <c r="W201" s="130"/>
      <c r="X201" s="130"/>
      <c r="Y201" s="130"/>
      <c r="Z201" s="152"/>
      <c r="AA201" s="130"/>
      <c r="AB201" s="130"/>
      <c r="AC201" s="130"/>
    </row>
    <row r="202" spans="1:29" ht="12.75" customHeight="1" x14ac:dyDescent="0.2">
      <c r="A202" s="129"/>
      <c r="B202" s="129"/>
      <c r="C202" s="143"/>
      <c r="D202" s="138"/>
      <c r="E202" s="129"/>
      <c r="F202" s="138"/>
      <c r="G202" s="138"/>
      <c r="H202" s="138"/>
      <c r="I202" s="138"/>
      <c r="J202" s="138"/>
      <c r="K202" s="130"/>
      <c r="L202" s="130"/>
      <c r="M202" s="130"/>
      <c r="N202" s="130"/>
      <c r="O202" s="130"/>
      <c r="P202" s="130"/>
      <c r="Q202" s="130"/>
      <c r="R202" s="130"/>
      <c r="S202" s="129"/>
      <c r="T202" s="129"/>
      <c r="U202" s="129"/>
      <c r="V202" s="130"/>
      <c r="W202" s="130"/>
      <c r="X202" s="130"/>
      <c r="Y202" s="130"/>
      <c r="Z202" s="152"/>
      <c r="AA202" s="130"/>
      <c r="AB202" s="130"/>
      <c r="AC202" s="130"/>
    </row>
    <row r="203" spans="1:29" ht="12.75" customHeight="1" x14ac:dyDescent="0.2">
      <c r="A203" s="129"/>
      <c r="B203" s="129"/>
      <c r="C203" s="143"/>
      <c r="D203" s="138"/>
      <c r="E203" s="129"/>
      <c r="F203" s="138"/>
      <c r="G203" s="138"/>
      <c r="H203" s="138"/>
      <c r="I203" s="138"/>
      <c r="J203" s="138"/>
      <c r="K203" s="130"/>
      <c r="L203" s="130"/>
      <c r="M203" s="130"/>
      <c r="N203" s="130"/>
      <c r="O203" s="130"/>
      <c r="P203" s="130"/>
      <c r="Q203" s="130"/>
      <c r="R203" s="130"/>
      <c r="S203" s="129"/>
      <c r="T203" s="129"/>
      <c r="U203" s="129"/>
      <c r="V203" s="130"/>
      <c r="W203" s="130"/>
      <c r="X203" s="130"/>
      <c r="Y203" s="130"/>
      <c r="Z203" s="152"/>
      <c r="AA203" s="130"/>
      <c r="AB203" s="130"/>
      <c r="AC203" s="130"/>
    </row>
    <row r="204" spans="1:29" ht="12.75" customHeight="1" x14ac:dyDescent="0.2">
      <c r="A204" s="129"/>
      <c r="B204" s="129"/>
      <c r="C204" s="143"/>
      <c r="D204" s="138"/>
      <c r="E204" s="129"/>
      <c r="F204" s="138"/>
      <c r="G204" s="138"/>
      <c r="H204" s="138"/>
      <c r="I204" s="138"/>
      <c r="J204" s="138"/>
      <c r="K204" s="130"/>
      <c r="L204" s="130"/>
      <c r="M204" s="130"/>
      <c r="N204" s="130"/>
      <c r="O204" s="130"/>
      <c r="P204" s="130"/>
      <c r="Q204" s="130"/>
      <c r="R204" s="130"/>
      <c r="S204" s="129"/>
      <c r="T204" s="129"/>
      <c r="U204" s="129"/>
      <c r="V204" s="130"/>
      <c r="W204" s="130"/>
      <c r="X204" s="130"/>
      <c r="Y204" s="130"/>
      <c r="Z204" s="152"/>
      <c r="AA204" s="130"/>
      <c r="AB204" s="130"/>
      <c r="AC204" s="130"/>
    </row>
    <row r="205" spans="1:29" ht="12.75" customHeight="1" x14ac:dyDescent="0.2">
      <c r="A205" s="129"/>
      <c r="B205" s="129"/>
      <c r="C205" s="143"/>
      <c r="D205" s="138"/>
      <c r="E205" s="129"/>
      <c r="F205" s="138"/>
      <c r="G205" s="138"/>
      <c r="H205" s="138"/>
      <c r="I205" s="138"/>
      <c r="J205" s="138"/>
      <c r="K205" s="130"/>
      <c r="L205" s="130"/>
      <c r="M205" s="130"/>
      <c r="N205" s="130"/>
      <c r="O205" s="130"/>
      <c r="P205" s="130"/>
      <c r="Q205" s="130"/>
      <c r="R205" s="130"/>
      <c r="S205" s="129"/>
      <c r="T205" s="129"/>
      <c r="U205" s="129"/>
      <c r="V205" s="130"/>
      <c r="W205" s="130"/>
      <c r="X205" s="130"/>
      <c r="Y205" s="130"/>
      <c r="Z205" s="152"/>
      <c r="AA205" s="130"/>
      <c r="AB205" s="130"/>
      <c r="AC205" s="130"/>
    </row>
    <row r="206" spans="1:29" ht="12.75" customHeight="1" x14ac:dyDescent="0.2">
      <c r="A206" s="129"/>
      <c r="B206" s="129"/>
      <c r="C206" s="143"/>
      <c r="D206" s="138"/>
      <c r="E206" s="129"/>
      <c r="F206" s="138"/>
      <c r="G206" s="138"/>
      <c r="H206" s="138"/>
      <c r="I206" s="138"/>
      <c r="J206" s="138"/>
      <c r="K206" s="130"/>
      <c r="L206" s="130"/>
      <c r="M206" s="130"/>
      <c r="N206" s="130"/>
      <c r="O206" s="130"/>
      <c r="P206" s="130"/>
      <c r="Q206" s="130"/>
      <c r="R206" s="130"/>
      <c r="S206" s="129"/>
      <c r="T206" s="129"/>
      <c r="U206" s="129"/>
      <c r="V206" s="130"/>
      <c r="W206" s="130"/>
      <c r="X206" s="130"/>
      <c r="Y206" s="130"/>
      <c r="Z206" s="152"/>
      <c r="AA206" s="130"/>
      <c r="AB206" s="130"/>
      <c r="AC206" s="130"/>
    </row>
    <row r="207" spans="1:29" ht="12.75" customHeight="1" x14ac:dyDescent="0.2">
      <c r="A207" s="129"/>
      <c r="B207" s="129"/>
      <c r="C207" s="143"/>
      <c r="D207" s="138"/>
      <c r="E207" s="129"/>
      <c r="F207" s="138"/>
      <c r="G207" s="138"/>
      <c r="H207" s="138"/>
      <c r="I207" s="138"/>
      <c r="J207" s="138"/>
      <c r="K207" s="130"/>
      <c r="L207" s="130"/>
      <c r="M207" s="130"/>
      <c r="N207" s="130"/>
      <c r="O207" s="130"/>
      <c r="P207" s="130"/>
      <c r="Q207" s="130"/>
      <c r="R207" s="130"/>
      <c r="S207" s="129"/>
      <c r="T207" s="129"/>
      <c r="U207" s="129"/>
      <c r="V207" s="130"/>
      <c r="W207" s="130"/>
      <c r="X207" s="130"/>
      <c r="Y207" s="130"/>
      <c r="Z207" s="152"/>
      <c r="AA207" s="130"/>
      <c r="AB207" s="130"/>
      <c r="AC207" s="130"/>
    </row>
    <row r="208" spans="1:29" ht="12.75" customHeight="1" x14ac:dyDescent="0.2">
      <c r="A208" s="129"/>
      <c r="B208" s="129"/>
      <c r="C208" s="143"/>
      <c r="D208" s="138"/>
      <c r="E208" s="129"/>
      <c r="F208" s="138"/>
      <c r="G208" s="138"/>
      <c r="H208" s="138"/>
      <c r="I208" s="138"/>
      <c r="J208" s="138"/>
      <c r="K208" s="130"/>
      <c r="L208" s="130"/>
      <c r="M208" s="130"/>
      <c r="N208" s="130"/>
      <c r="O208" s="130"/>
      <c r="P208" s="130"/>
      <c r="Q208" s="130"/>
      <c r="R208" s="130"/>
      <c r="S208" s="129"/>
      <c r="T208" s="129"/>
      <c r="U208" s="129"/>
      <c r="V208" s="130"/>
      <c r="W208" s="130"/>
      <c r="X208" s="130"/>
      <c r="Y208" s="130"/>
      <c r="Z208" s="152"/>
      <c r="AA208" s="130"/>
      <c r="AB208" s="130"/>
      <c r="AC208" s="130"/>
    </row>
    <row r="209" spans="1:29" ht="12.75" customHeight="1" x14ac:dyDescent="0.2">
      <c r="A209" s="129"/>
      <c r="B209" s="129"/>
      <c r="C209" s="143"/>
      <c r="D209" s="138"/>
      <c r="E209" s="129"/>
      <c r="F209" s="138"/>
      <c r="G209" s="138"/>
      <c r="H209" s="138"/>
      <c r="I209" s="138"/>
      <c r="J209" s="138"/>
      <c r="K209" s="130"/>
      <c r="L209" s="130"/>
      <c r="M209" s="130"/>
      <c r="N209" s="130"/>
      <c r="O209" s="130"/>
      <c r="P209" s="130"/>
      <c r="Q209" s="130"/>
      <c r="R209" s="130"/>
      <c r="S209" s="129"/>
      <c r="T209" s="129"/>
      <c r="U209" s="129"/>
      <c r="V209" s="130"/>
      <c r="W209" s="130"/>
      <c r="X209" s="130"/>
      <c r="Y209" s="130"/>
      <c r="Z209" s="152"/>
      <c r="AA209" s="130"/>
      <c r="AB209" s="130"/>
      <c r="AC209" s="130"/>
    </row>
    <row r="210" spans="1:29" ht="12.75" customHeight="1" x14ac:dyDescent="0.2">
      <c r="A210" s="129"/>
      <c r="B210" s="129"/>
      <c r="C210" s="143"/>
      <c r="D210" s="138"/>
      <c r="E210" s="129"/>
      <c r="F210" s="138"/>
      <c r="G210" s="138"/>
      <c r="H210" s="138"/>
      <c r="I210" s="138"/>
      <c r="J210" s="138"/>
      <c r="K210" s="130"/>
      <c r="L210" s="130"/>
      <c r="M210" s="130"/>
      <c r="N210" s="130"/>
      <c r="O210" s="130"/>
      <c r="P210" s="130"/>
      <c r="Q210" s="130"/>
      <c r="R210" s="130"/>
      <c r="S210" s="129"/>
      <c r="T210" s="129"/>
      <c r="U210" s="129"/>
      <c r="V210" s="130"/>
      <c r="W210" s="130"/>
      <c r="X210" s="130"/>
      <c r="Y210" s="130"/>
      <c r="Z210" s="152"/>
      <c r="AA210" s="130"/>
      <c r="AB210" s="130"/>
      <c r="AC210" s="130"/>
    </row>
    <row r="211" spans="1:29" ht="12.75" customHeight="1" x14ac:dyDescent="0.2">
      <c r="A211" s="129"/>
      <c r="B211" s="129"/>
      <c r="C211" s="143"/>
      <c r="D211" s="138"/>
      <c r="E211" s="129"/>
      <c r="F211" s="138"/>
      <c r="G211" s="138"/>
      <c r="H211" s="138"/>
      <c r="I211" s="138"/>
      <c r="J211" s="138"/>
      <c r="K211" s="130"/>
      <c r="L211" s="130"/>
      <c r="M211" s="130"/>
      <c r="N211" s="130"/>
      <c r="O211" s="130"/>
      <c r="P211" s="130"/>
      <c r="Q211" s="130"/>
      <c r="R211" s="130"/>
      <c r="S211" s="129"/>
      <c r="T211" s="129"/>
      <c r="U211" s="129"/>
      <c r="V211" s="130"/>
      <c r="W211" s="130"/>
      <c r="X211" s="130"/>
      <c r="Y211" s="130"/>
      <c r="Z211" s="152"/>
      <c r="AA211" s="130"/>
      <c r="AB211" s="130"/>
      <c r="AC211" s="130"/>
    </row>
    <row r="212" spans="1:29" ht="12.75" customHeight="1" x14ac:dyDescent="0.2">
      <c r="A212" s="129"/>
      <c r="B212" s="129"/>
      <c r="C212" s="143"/>
      <c r="D212" s="138"/>
      <c r="E212" s="129"/>
      <c r="F212" s="138"/>
      <c r="G212" s="138"/>
      <c r="H212" s="138"/>
      <c r="I212" s="138"/>
      <c r="J212" s="138"/>
      <c r="K212" s="130"/>
      <c r="L212" s="130"/>
      <c r="M212" s="130"/>
      <c r="N212" s="130"/>
      <c r="O212" s="130"/>
      <c r="P212" s="130"/>
      <c r="Q212" s="130"/>
      <c r="R212" s="130"/>
      <c r="S212" s="129"/>
      <c r="T212" s="129"/>
      <c r="U212" s="129"/>
      <c r="V212" s="130"/>
      <c r="W212" s="130"/>
      <c r="X212" s="130"/>
      <c r="Y212" s="130"/>
      <c r="Z212" s="152"/>
      <c r="AA212" s="130"/>
      <c r="AB212" s="130"/>
      <c r="AC212" s="130"/>
    </row>
    <row r="213" spans="1:29" ht="12.75" customHeight="1" x14ac:dyDescent="0.2">
      <c r="A213" s="129"/>
      <c r="B213" s="129"/>
      <c r="C213" s="143"/>
      <c r="D213" s="138"/>
      <c r="E213" s="129"/>
      <c r="F213" s="138"/>
      <c r="G213" s="138"/>
      <c r="H213" s="138"/>
      <c r="I213" s="138"/>
      <c r="J213" s="138"/>
      <c r="K213" s="130"/>
      <c r="L213" s="130"/>
      <c r="M213" s="130"/>
      <c r="N213" s="130"/>
      <c r="O213" s="130"/>
      <c r="P213" s="130"/>
      <c r="Q213" s="130"/>
      <c r="R213" s="130"/>
      <c r="S213" s="129"/>
      <c r="T213" s="129"/>
      <c r="U213" s="129"/>
      <c r="V213" s="130"/>
      <c r="W213" s="130"/>
      <c r="X213" s="130"/>
      <c r="Y213" s="130"/>
      <c r="Z213" s="152"/>
      <c r="AA213" s="130"/>
      <c r="AB213" s="130"/>
      <c r="AC213" s="130"/>
    </row>
    <row r="214" spans="1:29" ht="12.75" customHeight="1" x14ac:dyDescent="0.2">
      <c r="A214" s="129"/>
      <c r="B214" s="129"/>
      <c r="C214" s="143"/>
      <c r="D214" s="138"/>
      <c r="E214" s="129"/>
      <c r="F214" s="138"/>
      <c r="G214" s="138"/>
      <c r="H214" s="138"/>
      <c r="I214" s="138"/>
      <c r="J214" s="138"/>
      <c r="K214" s="130"/>
      <c r="L214" s="130"/>
      <c r="M214" s="130"/>
      <c r="N214" s="130"/>
      <c r="O214" s="130"/>
      <c r="P214" s="130"/>
      <c r="Q214" s="130"/>
      <c r="R214" s="130"/>
      <c r="S214" s="129"/>
      <c r="T214" s="129"/>
      <c r="U214" s="129"/>
      <c r="V214" s="130"/>
      <c r="W214" s="130"/>
      <c r="X214" s="130"/>
      <c r="Y214" s="130"/>
      <c r="Z214" s="152"/>
      <c r="AA214" s="130"/>
      <c r="AB214" s="130"/>
      <c r="AC214" s="130"/>
    </row>
    <row r="215" spans="1:29" ht="12.75" customHeight="1" x14ac:dyDescent="0.2">
      <c r="A215" s="129"/>
      <c r="B215" s="129"/>
      <c r="C215" s="143"/>
      <c r="D215" s="138"/>
      <c r="E215" s="129"/>
      <c r="F215" s="138"/>
      <c r="G215" s="138"/>
      <c r="H215" s="138"/>
      <c r="I215" s="138"/>
      <c r="J215" s="138"/>
      <c r="K215" s="130"/>
      <c r="L215" s="130"/>
      <c r="M215" s="130"/>
      <c r="N215" s="130"/>
      <c r="O215" s="130"/>
      <c r="P215" s="130"/>
      <c r="Q215" s="130"/>
      <c r="R215" s="130"/>
      <c r="S215" s="129"/>
      <c r="T215" s="129"/>
      <c r="U215" s="129"/>
      <c r="V215" s="130"/>
      <c r="W215" s="130"/>
      <c r="X215" s="130"/>
      <c r="Y215" s="130"/>
      <c r="Z215" s="152"/>
      <c r="AA215" s="130"/>
      <c r="AB215" s="130"/>
      <c r="AC215" s="130"/>
    </row>
    <row r="216" spans="1:29" ht="12.75" customHeight="1" x14ac:dyDescent="0.2">
      <c r="A216" s="129"/>
      <c r="B216" s="129"/>
      <c r="C216" s="143"/>
      <c r="D216" s="138"/>
      <c r="E216" s="129"/>
      <c r="F216" s="138"/>
      <c r="G216" s="138"/>
      <c r="H216" s="138"/>
      <c r="I216" s="138"/>
      <c r="J216" s="138"/>
      <c r="K216" s="130"/>
      <c r="L216" s="130"/>
      <c r="M216" s="130"/>
      <c r="N216" s="130"/>
      <c r="O216" s="130"/>
      <c r="P216" s="130"/>
      <c r="Q216" s="130"/>
      <c r="R216" s="130"/>
      <c r="S216" s="129"/>
      <c r="T216" s="129"/>
      <c r="U216" s="129"/>
      <c r="V216" s="130"/>
      <c r="W216" s="130"/>
      <c r="X216" s="130"/>
      <c r="Y216" s="130"/>
      <c r="Z216" s="152"/>
      <c r="AA216" s="130"/>
      <c r="AB216" s="130"/>
      <c r="AC216" s="130"/>
    </row>
    <row r="217" spans="1:29" ht="12.75" customHeight="1" x14ac:dyDescent="0.2">
      <c r="A217" s="129"/>
      <c r="B217" s="129"/>
      <c r="C217" s="143"/>
      <c r="D217" s="138"/>
      <c r="E217" s="129"/>
      <c r="F217" s="138"/>
      <c r="G217" s="138"/>
      <c r="H217" s="138"/>
      <c r="I217" s="138"/>
      <c r="J217" s="138"/>
      <c r="K217" s="130"/>
      <c r="L217" s="130"/>
      <c r="M217" s="130"/>
      <c r="N217" s="130"/>
      <c r="O217" s="130"/>
      <c r="P217" s="130"/>
      <c r="Q217" s="130"/>
      <c r="R217" s="130"/>
      <c r="S217" s="129"/>
      <c r="T217" s="129"/>
      <c r="U217" s="129"/>
      <c r="V217" s="130"/>
      <c r="W217" s="130"/>
      <c r="X217" s="130"/>
      <c r="Y217" s="130"/>
      <c r="Z217" s="152"/>
      <c r="AA217" s="130"/>
      <c r="AB217" s="130"/>
      <c r="AC217" s="130"/>
    </row>
    <row r="218" spans="1:29" ht="12.75" customHeight="1" x14ac:dyDescent="0.2">
      <c r="A218" s="129"/>
      <c r="B218" s="129"/>
      <c r="C218" s="143"/>
      <c r="D218" s="138"/>
      <c r="E218" s="129"/>
      <c r="F218" s="138"/>
      <c r="G218" s="138"/>
      <c r="H218" s="138"/>
      <c r="I218" s="138"/>
      <c r="J218" s="138"/>
      <c r="K218" s="130"/>
      <c r="L218" s="130"/>
      <c r="M218" s="130"/>
      <c r="N218" s="130"/>
      <c r="O218" s="130"/>
      <c r="P218" s="130"/>
      <c r="Q218" s="130"/>
      <c r="R218" s="130"/>
      <c r="S218" s="129"/>
      <c r="T218" s="129"/>
      <c r="U218" s="129"/>
      <c r="V218" s="130"/>
      <c r="W218" s="130"/>
      <c r="X218" s="130"/>
      <c r="Y218" s="130"/>
      <c r="Z218" s="152"/>
      <c r="AA218" s="130"/>
      <c r="AB218" s="130"/>
      <c r="AC218" s="130"/>
    </row>
    <row r="219" spans="1:29" ht="12.75" customHeight="1" x14ac:dyDescent="0.2">
      <c r="A219" s="129"/>
      <c r="B219" s="129"/>
      <c r="C219" s="143"/>
      <c r="D219" s="138"/>
      <c r="E219" s="129"/>
      <c r="F219" s="138"/>
      <c r="G219" s="138"/>
      <c r="H219" s="138"/>
      <c r="I219" s="138"/>
      <c r="J219" s="138"/>
      <c r="K219" s="130"/>
      <c r="L219" s="130"/>
      <c r="M219" s="130"/>
      <c r="N219" s="130"/>
      <c r="O219" s="130"/>
      <c r="P219" s="130"/>
      <c r="Q219" s="130"/>
      <c r="R219" s="130"/>
      <c r="S219" s="129"/>
      <c r="T219" s="129"/>
      <c r="U219" s="129"/>
      <c r="V219" s="130"/>
      <c r="W219" s="130"/>
      <c r="X219" s="130"/>
      <c r="Y219" s="130"/>
      <c r="Z219" s="152"/>
      <c r="AA219" s="130"/>
      <c r="AB219" s="130"/>
      <c r="AC219" s="130"/>
    </row>
    <row r="220" spans="1:29" ht="12.75" customHeight="1" x14ac:dyDescent="0.2">
      <c r="A220" s="129"/>
      <c r="B220" s="129"/>
      <c r="C220" s="143"/>
      <c r="D220" s="138"/>
      <c r="E220" s="129"/>
      <c r="F220" s="138"/>
      <c r="G220" s="138"/>
      <c r="H220" s="138"/>
      <c r="I220" s="138"/>
      <c r="J220" s="138"/>
      <c r="K220" s="130"/>
      <c r="L220" s="130"/>
      <c r="M220" s="130"/>
      <c r="N220" s="130"/>
      <c r="O220" s="130"/>
      <c r="P220" s="130"/>
      <c r="Q220" s="130"/>
      <c r="R220" s="130"/>
      <c r="S220" s="129"/>
      <c r="T220" s="129"/>
      <c r="U220" s="129"/>
      <c r="V220" s="130"/>
      <c r="W220" s="130"/>
      <c r="X220" s="130"/>
      <c r="Y220" s="130"/>
      <c r="Z220" s="152"/>
      <c r="AA220" s="130"/>
      <c r="AB220" s="130"/>
      <c r="AC220" s="130"/>
    </row>
    <row r="221" spans="1:29" ht="12.75" customHeight="1" x14ac:dyDescent="0.2">
      <c r="A221" s="129"/>
      <c r="B221" s="129"/>
      <c r="C221" s="143"/>
      <c r="D221" s="138"/>
      <c r="E221" s="129"/>
      <c r="F221" s="138"/>
      <c r="G221" s="138"/>
      <c r="H221" s="138"/>
      <c r="I221" s="138"/>
      <c r="J221" s="138"/>
      <c r="K221" s="130"/>
      <c r="L221" s="130"/>
      <c r="M221" s="130"/>
      <c r="N221" s="130"/>
      <c r="O221" s="130"/>
      <c r="P221" s="130"/>
      <c r="Q221" s="130"/>
      <c r="R221" s="130"/>
      <c r="S221" s="129"/>
      <c r="T221" s="129"/>
      <c r="U221" s="129"/>
      <c r="V221" s="130"/>
      <c r="W221" s="130"/>
      <c r="X221" s="130"/>
      <c r="Y221" s="130"/>
      <c r="Z221" s="152"/>
      <c r="AA221" s="130"/>
      <c r="AB221" s="130"/>
      <c r="AC221" s="130"/>
    </row>
    <row r="222" spans="1:29" ht="12.75" customHeight="1" x14ac:dyDescent="0.2">
      <c r="A222" s="129"/>
      <c r="B222" s="129"/>
      <c r="C222" s="143"/>
      <c r="D222" s="138"/>
      <c r="E222" s="129"/>
      <c r="F222" s="138"/>
      <c r="G222" s="138"/>
      <c r="H222" s="138"/>
      <c r="I222" s="138"/>
      <c r="J222" s="138"/>
      <c r="K222" s="130"/>
      <c r="L222" s="130"/>
      <c r="M222" s="130"/>
      <c r="N222" s="130"/>
      <c r="O222" s="130"/>
      <c r="P222" s="130"/>
      <c r="Q222" s="130"/>
      <c r="R222" s="130"/>
      <c r="S222" s="129"/>
      <c r="T222" s="129"/>
      <c r="U222" s="129"/>
      <c r="V222" s="130"/>
      <c r="W222" s="130"/>
      <c r="X222" s="130"/>
      <c r="Y222" s="130"/>
      <c r="Z222" s="152"/>
      <c r="AA222" s="130"/>
      <c r="AB222" s="130"/>
      <c r="AC222" s="130"/>
    </row>
    <row r="223" spans="1:29" ht="12.75" customHeight="1" x14ac:dyDescent="0.2">
      <c r="A223" s="129"/>
      <c r="B223" s="129"/>
      <c r="C223" s="143"/>
      <c r="D223" s="138"/>
      <c r="E223" s="129"/>
      <c r="F223" s="138"/>
      <c r="G223" s="138"/>
      <c r="H223" s="138"/>
      <c r="I223" s="138"/>
      <c r="J223" s="138"/>
      <c r="K223" s="130"/>
      <c r="L223" s="130"/>
      <c r="M223" s="130"/>
      <c r="N223" s="130"/>
      <c r="O223" s="130"/>
      <c r="P223" s="130"/>
      <c r="Q223" s="130"/>
      <c r="R223" s="130"/>
      <c r="S223" s="129"/>
      <c r="T223" s="129"/>
      <c r="U223" s="129"/>
      <c r="V223" s="130"/>
      <c r="W223" s="130"/>
      <c r="X223" s="130"/>
      <c r="Y223" s="130"/>
      <c r="Z223" s="152"/>
      <c r="AA223" s="130"/>
      <c r="AB223" s="130"/>
      <c r="AC223" s="130"/>
    </row>
    <row r="224" spans="1:29" ht="12.75" customHeight="1" x14ac:dyDescent="0.2">
      <c r="A224" s="129"/>
      <c r="B224" s="129"/>
      <c r="C224" s="143"/>
      <c r="D224" s="138"/>
      <c r="E224" s="129"/>
      <c r="F224" s="138"/>
      <c r="G224" s="138"/>
      <c r="H224" s="138"/>
      <c r="I224" s="138"/>
      <c r="J224" s="138"/>
      <c r="K224" s="130"/>
      <c r="L224" s="130"/>
      <c r="M224" s="130"/>
      <c r="N224" s="130"/>
      <c r="O224" s="130"/>
      <c r="P224" s="130"/>
      <c r="Q224" s="130"/>
      <c r="R224" s="130"/>
      <c r="S224" s="129"/>
      <c r="T224" s="129"/>
      <c r="U224" s="129"/>
      <c r="V224" s="130"/>
      <c r="W224" s="130"/>
      <c r="X224" s="130"/>
      <c r="Y224" s="130"/>
      <c r="Z224" s="152"/>
      <c r="AA224" s="130"/>
      <c r="AB224" s="130"/>
      <c r="AC224" s="130"/>
    </row>
    <row r="225" spans="1:29" ht="12.75" customHeight="1" x14ac:dyDescent="0.2">
      <c r="A225" s="129"/>
      <c r="B225" s="129"/>
      <c r="C225" s="143"/>
      <c r="D225" s="138"/>
      <c r="E225" s="129"/>
      <c r="F225" s="138"/>
      <c r="G225" s="138"/>
      <c r="H225" s="138"/>
      <c r="I225" s="138"/>
      <c r="J225" s="138"/>
      <c r="K225" s="130"/>
      <c r="L225" s="130"/>
      <c r="M225" s="130"/>
      <c r="N225" s="130"/>
      <c r="O225" s="130"/>
      <c r="P225" s="130"/>
      <c r="Q225" s="130"/>
      <c r="R225" s="130"/>
      <c r="S225" s="129"/>
      <c r="T225" s="129"/>
      <c r="U225" s="129"/>
      <c r="V225" s="130"/>
      <c r="W225" s="130"/>
      <c r="X225" s="130"/>
      <c r="Y225" s="130"/>
      <c r="Z225" s="152"/>
      <c r="AA225" s="130"/>
      <c r="AB225" s="130"/>
      <c r="AC225" s="130"/>
    </row>
    <row r="226" spans="1:29" ht="12.75" customHeight="1" x14ac:dyDescent="0.2">
      <c r="A226" s="129"/>
      <c r="B226" s="129"/>
      <c r="C226" s="143"/>
      <c r="D226" s="138"/>
      <c r="E226" s="129"/>
      <c r="F226" s="138"/>
      <c r="G226" s="138"/>
      <c r="H226" s="138"/>
      <c r="I226" s="138"/>
      <c r="J226" s="138"/>
      <c r="K226" s="130"/>
      <c r="L226" s="130"/>
      <c r="M226" s="130"/>
      <c r="N226" s="130"/>
      <c r="O226" s="130"/>
      <c r="P226" s="130"/>
      <c r="Q226" s="130"/>
      <c r="R226" s="130"/>
      <c r="S226" s="129"/>
      <c r="T226" s="129"/>
      <c r="U226" s="129"/>
      <c r="V226" s="130"/>
      <c r="W226" s="130"/>
      <c r="X226" s="130"/>
      <c r="Y226" s="130"/>
      <c r="Z226" s="152"/>
      <c r="AA226" s="130"/>
      <c r="AB226" s="130"/>
      <c r="AC226" s="130"/>
    </row>
    <row r="227" spans="1:29" ht="12.75" customHeight="1" x14ac:dyDescent="0.2">
      <c r="A227" s="129"/>
      <c r="B227" s="129"/>
      <c r="C227" s="143"/>
      <c r="D227" s="138"/>
      <c r="E227" s="129"/>
      <c r="F227" s="138"/>
      <c r="G227" s="138"/>
      <c r="H227" s="138"/>
      <c r="I227" s="138"/>
      <c r="J227" s="138"/>
      <c r="K227" s="130"/>
      <c r="L227" s="130"/>
      <c r="M227" s="130"/>
      <c r="N227" s="130"/>
      <c r="O227" s="130"/>
      <c r="P227" s="130"/>
      <c r="Q227" s="130"/>
      <c r="R227" s="130"/>
      <c r="S227" s="129"/>
      <c r="T227" s="129"/>
      <c r="U227" s="129"/>
      <c r="V227" s="130"/>
      <c r="W227" s="130"/>
      <c r="X227" s="130"/>
      <c r="Y227" s="130"/>
      <c r="Z227" s="152"/>
      <c r="AA227" s="130"/>
      <c r="AB227" s="130"/>
      <c r="AC227" s="130"/>
    </row>
    <row r="228" spans="1:29" ht="12.75" customHeight="1" x14ac:dyDescent="0.2">
      <c r="A228" s="129"/>
      <c r="B228" s="129"/>
      <c r="C228" s="143"/>
      <c r="D228" s="138"/>
      <c r="E228" s="129"/>
      <c r="F228" s="138"/>
      <c r="G228" s="138"/>
      <c r="H228" s="138"/>
      <c r="I228" s="138"/>
      <c r="J228" s="138"/>
      <c r="K228" s="130"/>
      <c r="L228" s="130"/>
      <c r="M228" s="130"/>
      <c r="N228" s="130"/>
      <c r="O228" s="130"/>
      <c r="P228" s="130"/>
      <c r="Q228" s="130"/>
      <c r="R228" s="130"/>
      <c r="S228" s="129"/>
      <c r="T228" s="129"/>
      <c r="U228" s="129"/>
      <c r="V228" s="130"/>
      <c r="W228" s="130"/>
      <c r="X228" s="130"/>
      <c r="Y228" s="130"/>
      <c r="Z228" s="152"/>
      <c r="AA228" s="130"/>
      <c r="AB228" s="130"/>
      <c r="AC228" s="130"/>
    </row>
    <row r="229" spans="1:29" ht="12.75" customHeight="1" x14ac:dyDescent="0.2">
      <c r="A229" s="129"/>
      <c r="B229" s="129"/>
      <c r="C229" s="143"/>
      <c r="D229" s="138"/>
      <c r="E229" s="129"/>
      <c r="F229" s="138"/>
      <c r="G229" s="138"/>
      <c r="H229" s="138"/>
      <c r="I229" s="138"/>
      <c r="J229" s="138"/>
      <c r="K229" s="130"/>
      <c r="L229" s="130"/>
      <c r="M229" s="130"/>
      <c r="N229" s="130"/>
      <c r="O229" s="130"/>
      <c r="P229" s="130"/>
      <c r="Q229" s="130"/>
      <c r="R229" s="130"/>
      <c r="S229" s="129"/>
      <c r="T229" s="129"/>
      <c r="U229" s="129"/>
      <c r="V229" s="130"/>
      <c r="W229" s="130"/>
      <c r="X229" s="130"/>
      <c r="Y229" s="130"/>
      <c r="Z229" s="152"/>
      <c r="AA229" s="130"/>
      <c r="AB229" s="130"/>
      <c r="AC229" s="130"/>
    </row>
    <row r="230" spans="1:29" ht="12.75" customHeight="1" x14ac:dyDescent="0.2">
      <c r="A230" s="129"/>
      <c r="B230" s="129"/>
      <c r="C230" s="143"/>
      <c r="D230" s="138"/>
      <c r="E230" s="129"/>
      <c r="F230" s="138"/>
      <c r="G230" s="138"/>
      <c r="H230" s="138"/>
      <c r="I230" s="138"/>
      <c r="J230" s="138"/>
      <c r="K230" s="130"/>
      <c r="L230" s="130"/>
      <c r="M230" s="130"/>
      <c r="N230" s="130"/>
      <c r="O230" s="130"/>
      <c r="P230" s="130"/>
      <c r="Q230" s="130"/>
      <c r="R230" s="130"/>
      <c r="S230" s="129"/>
      <c r="T230" s="129"/>
      <c r="U230" s="129"/>
      <c r="V230" s="130"/>
      <c r="W230" s="130"/>
      <c r="X230" s="130"/>
      <c r="Y230" s="130"/>
      <c r="Z230" s="152"/>
      <c r="AA230" s="130"/>
      <c r="AB230" s="130"/>
      <c r="AC230" s="130"/>
    </row>
    <row r="231" spans="1:29" ht="12.75" customHeight="1" x14ac:dyDescent="0.2">
      <c r="A231" s="129"/>
      <c r="B231" s="129"/>
      <c r="C231" s="143"/>
      <c r="D231" s="138"/>
      <c r="E231" s="129"/>
      <c r="F231" s="138"/>
      <c r="G231" s="138"/>
      <c r="H231" s="138"/>
      <c r="I231" s="138"/>
      <c r="J231" s="138"/>
      <c r="K231" s="130"/>
      <c r="L231" s="130"/>
      <c r="M231" s="130"/>
      <c r="N231" s="130"/>
      <c r="O231" s="130"/>
      <c r="P231" s="130"/>
      <c r="Q231" s="130"/>
      <c r="R231" s="130"/>
      <c r="S231" s="129"/>
      <c r="T231" s="129"/>
      <c r="U231" s="129"/>
      <c r="V231" s="130"/>
      <c r="W231" s="130"/>
      <c r="X231" s="130"/>
      <c r="Y231" s="130"/>
      <c r="Z231" s="152"/>
      <c r="AA231" s="130"/>
      <c r="AB231" s="130"/>
      <c r="AC231" s="130"/>
    </row>
    <row r="232" spans="1:29" ht="12.75" customHeight="1" x14ac:dyDescent="0.2">
      <c r="A232" s="129"/>
      <c r="B232" s="129"/>
      <c r="C232" s="143"/>
      <c r="D232" s="138"/>
      <c r="E232" s="129"/>
      <c r="F232" s="138"/>
      <c r="G232" s="138"/>
      <c r="H232" s="138"/>
      <c r="I232" s="138"/>
      <c r="J232" s="138"/>
      <c r="K232" s="130"/>
      <c r="L232" s="130"/>
      <c r="M232" s="130"/>
      <c r="N232" s="130"/>
      <c r="O232" s="130"/>
      <c r="P232" s="130"/>
      <c r="Q232" s="130"/>
      <c r="R232" s="130"/>
      <c r="S232" s="129"/>
      <c r="T232" s="129"/>
      <c r="U232" s="129"/>
      <c r="V232" s="130"/>
      <c r="W232" s="130"/>
      <c r="X232" s="130"/>
      <c r="Y232" s="130"/>
      <c r="Z232" s="152"/>
      <c r="AA232" s="130"/>
      <c r="AB232" s="130"/>
      <c r="AC232" s="130"/>
    </row>
    <row r="233" spans="1:29" ht="12.75" customHeight="1" x14ac:dyDescent="0.2">
      <c r="A233" s="129"/>
      <c r="B233" s="129"/>
      <c r="C233" s="143"/>
      <c r="D233" s="138"/>
      <c r="E233" s="129"/>
      <c r="F233" s="138"/>
      <c r="G233" s="138"/>
      <c r="H233" s="138"/>
      <c r="I233" s="138"/>
      <c r="J233" s="138"/>
      <c r="K233" s="130"/>
      <c r="L233" s="130"/>
      <c r="M233" s="130"/>
      <c r="N233" s="130"/>
      <c r="O233" s="130"/>
      <c r="P233" s="130"/>
      <c r="Q233" s="130"/>
      <c r="R233" s="130"/>
      <c r="S233" s="129"/>
      <c r="T233" s="129"/>
      <c r="U233" s="129"/>
      <c r="V233" s="130"/>
      <c r="W233" s="130"/>
      <c r="X233" s="130"/>
      <c r="Y233" s="130"/>
      <c r="Z233" s="152"/>
      <c r="AA233" s="130"/>
      <c r="AB233" s="130"/>
      <c r="AC233" s="130"/>
    </row>
    <row r="234" spans="1:29" ht="12.75" customHeight="1" x14ac:dyDescent="0.2">
      <c r="A234" s="129"/>
      <c r="B234" s="129"/>
      <c r="C234" s="143"/>
      <c r="D234" s="138"/>
      <c r="E234" s="129"/>
      <c r="F234" s="138"/>
      <c r="G234" s="138"/>
      <c r="H234" s="138"/>
      <c r="I234" s="138"/>
      <c r="J234" s="138"/>
      <c r="K234" s="130"/>
      <c r="L234" s="130"/>
      <c r="M234" s="130"/>
      <c r="N234" s="130"/>
      <c r="O234" s="130"/>
      <c r="P234" s="130"/>
      <c r="Q234" s="130"/>
      <c r="R234" s="130"/>
      <c r="S234" s="129"/>
      <c r="T234" s="129"/>
      <c r="U234" s="129"/>
      <c r="V234" s="130"/>
      <c r="W234" s="130"/>
      <c r="X234" s="130"/>
      <c r="Y234" s="130"/>
      <c r="Z234" s="152"/>
      <c r="AA234" s="130"/>
      <c r="AB234" s="130"/>
      <c r="AC234" s="130"/>
    </row>
    <row r="235" spans="1:29" ht="12.75" customHeight="1" x14ac:dyDescent="0.2">
      <c r="A235" s="129"/>
      <c r="B235" s="129"/>
      <c r="C235" s="143"/>
      <c r="D235" s="138"/>
      <c r="E235" s="129"/>
      <c r="F235" s="138"/>
      <c r="G235" s="138"/>
      <c r="H235" s="138"/>
      <c r="I235" s="138"/>
      <c r="J235" s="138"/>
      <c r="K235" s="130"/>
      <c r="L235" s="130"/>
      <c r="M235" s="130"/>
      <c r="N235" s="130"/>
      <c r="O235" s="130"/>
      <c r="P235" s="130"/>
      <c r="Q235" s="130"/>
      <c r="R235" s="130"/>
      <c r="S235" s="129"/>
      <c r="T235" s="129"/>
      <c r="U235" s="129"/>
      <c r="V235" s="130"/>
      <c r="W235" s="130"/>
      <c r="X235" s="130"/>
      <c r="Y235" s="130"/>
      <c r="Z235" s="152"/>
      <c r="AA235" s="130"/>
      <c r="AB235" s="130"/>
      <c r="AC235" s="130"/>
    </row>
    <row r="236" spans="1:29" ht="12.75" customHeight="1" x14ac:dyDescent="0.2">
      <c r="A236" s="129"/>
      <c r="B236" s="129"/>
      <c r="C236" s="143"/>
      <c r="D236" s="138"/>
      <c r="E236" s="129"/>
      <c r="F236" s="138"/>
      <c r="G236" s="138"/>
      <c r="H236" s="138"/>
      <c r="I236" s="138"/>
      <c r="J236" s="138"/>
      <c r="K236" s="130"/>
      <c r="L236" s="130"/>
      <c r="M236" s="130"/>
      <c r="N236" s="130"/>
      <c r="O236" s="130"/>
      <c r="P236" s="130"/>
      <c r="Q236" s="130"/>
      <c r="R236" s="130"/>
      <c r="S236" s="129"/>
      <c r="T236" s="129"/>
      <c r="U236" s="129"/>
      <c r="V236" s="130"/>
      <c r="W236" s="130"/>
      <c r="X236" s="130"/>
      <c r="Y236" s="130"/>
      <c r="Z236" s="152"/>
      <c r="AA236" s="130"/>
      <c r="AB236" s="130"/>
      <c r="AC236" s="130"/>
    </row>
    <row r="237" spans="1:29" ht="12.75" customHeight="1" x14ac:dyDescent="0.2">
      <c r="A237" s="129"/>
      <c r="B237" s="129"/>
      <c r="C237" s="143"/>
      <c r="D237" s="138"/>
      <c r="E237" s="129"/>
      <c r="F237" s="138"/>
      <c r="G237" s="138"/>
      <c r="H237" s="138"/>
      <c r="I237" s="138"/>
      <c r="J237" s="138"/>
      <c r="K237" s="130"/>
      <c r="L237" s="130"/>
      <c r="M237" s="130"/>
      <c r="N237" s="130"/>
      <c r="O237" s="130"/>
      <c r="P237" s="130"/>
      <c r="Q237" s="130"/>
      <c r="R237" s="130"/>
      <c r="S237" s="129"/>
      <c r="T237" s="129"/>
      <c r="U237" s="129"/>
      <c r="V237" s="130"/>
      <c r="W237" s="130"/>
      <c r="X237" s="130"/>
      <c r="Y237" s="130"/>
      <c r="Z237" s="152"/>
      <c r="AA237" s="130"/>
      <c r="AB237" s="130"/>
      <c r="AC237" s="130"/>
    </row>
    <row r="238" spans="1:29" ht="12.75" customHeight="1" x14ac:dyDescent="0.2">
      <c r="A238" s="129"/>
      <c r="B238" s="129"/>
      <c r="C238" s="143"/>
      <c r="D238" s="138"/>
      <c r="E238" s="129"/>
      <c r="F238" s="138"/>
      <c r="G238" s="138"/>
      <c r="H238" s="138"/>
      <c r="I238" s="138"/>
      <c r="J238" s="138"/>
      <c r="K238" s="130"/>
      <c r="L238" s="130"/>
      <c r="M238" s="130"/>
      <c r="N238" s="130"/>
      <c r="O238" s="130"/>
      <c r="P238" s="130"/>
      <c r="Q238" s="130"/>
      <c r="R238" s="130"/>
      <c r="S238" s="129"/>
      <c r="T238" s="129"/>
      <c r="U238" s="129"/>
      <c r="V238" s="130"/>
      <c r="W238" s="130"/>
      <c r="X238" s="130"/>
      <c r="Y238" s="130"/>
      <c r="Z238" s="152"/>
      <c r="AA238" s="130"/>
      <c r="AB238" s="130"/>
      <c r="AC238" s="130"/>
    </row>
    <row r="239" spans="1:29" ht="12.75" customHeight="1" x14ac:dyDescent="0.2">
      <c r="A239" s="129"/>
      <c r="B239" s="129"/>
      <c r="C239" s="143"/>
      <c r="D239" s="138"/>
      <c r="E239" s="129"/>
      <c r="F239" s="138"/>
      <c r="G239" s="138"/>
      <c r="H239" s="138"/>
      <c r="I239" s="138"/>
      <c r="J239" s="138"/>
      <c r="K239" s="130"/>
      <c r="L239" s="130"/>
      <c r="M239" s="130"/>
      <c r="N239" s="130"/>
      <c r="O239" s="130"/>
      <c r="P239" s="130"/>
      <c r="Q239" s="130"/>
      <c r="R239" s="130"/>
      <c r="S239" s="129"/>
      <c r="T239" s="129"/>
      <c r="U239" s="129"/>
      <c r="V239" s="130"/>
      <c r="W239" s="130"/>
      <c r="X239" s="130"/>
      <c r="Y239" s="130"/>
      <c r="Z239" s="152"/>
      <c r="AA239" s="130"/>
      <c r="AB239" s="130"/>
      <c r="AC239" s="130"/>
    </row>
    <row r="240" spans="1:29" ht="12.75" customHeight="1" x14ac:dyDescent="0.2">
      <c r="A240" s="129"/>
      <c r="B240" s="129"/>
      <c r="C240" s="143"/>
      <c r="D240" s="138"/>
      <c r="E240" s="129"/>
      <c r="F240" s="138"/>
      <c r="G240" s="138"/>
      <c r="H240" s="138"/>
      <c r="I240" s="138"/>
      <c r="J240" s="138"/>
      <c r="K240" s="130"/>
      <c r="L240" s="130"/>
      <c r="M240" s="130"/>
      <c r="N240" s="130"/>
      <c r="O240" s="130"/>
      <c r="P240" s="130"/>
      <c r="Q240" s="130"/>
      <c r="R240" s="130"/>
      <c r="S240" s="129"/>
      <c r="T240" s="129"/>
      <c r="U240" s="129"/>
      <c r="V240" s="130"/>
      <c r="W240" s="130"/>
      <c r="X240" s="130"/>
      <c r="Y240" s="130"/>
      <c r="Z240" s="152"/>
      <c r="AA240" s="130"/>
      <c r="AB240" s="130"/>
      <c r="AC240" s="130"/>
    </row>
    <row r="241" spans="1:29" ht="12.75" customHeight="1" x14ac:dyDescent="0.2">
      <c r="A241" s="129"/>
      <c r="B241" s="129"/>
      <c r="C241" s="143"/>
      <c r="D241" s="138"/>
      <c r="E241" s="129"/>
      <c r="F241" s="138"/>
      <c r="G241" s="138"/>
      <c r="H241" s="138"/>
      <c r="I241" s="138"/>
      <c r="J241" s="138"/>
      <c r="K241" s="130"/>
      <c r="L241" s="130"/>
      <c r="M241" s="130"/>
      <c r="N241" s="130"/>
      <c r="O241" s="130"/>
      <c r="P241" s="130"/>
      <c r="Q241" s="130"/>
      <c r="R241" s="130"/>
      <c r="S241" s="129"/>
      <c r="T241" s="129"/>
      <c r="U241" s="129"/>
      <c r="V241" s="130"/>
      <c r="W241" s="130"/>
      <c r="X241" s="130"/>
      <c r="Y241" s="130"/>
      <c r="Z241" s="152"/>
      <c r="AA241" s="130"/>
      <c r="AB241" s="130"/>
      <c r="AC241" s="130"/>
    </row>
    <row r="242" spans="1:29" ht="12.75" customHeight="1" x14ac:dyDescent="0.2">
      <c r="A242" s="129"/>
      <c r="B242" s="129"/>
      <c r="C242" s="143"/>
      <c r="D242" s="138"/>
      <c r="E242" s="129"/>
      <c r="F242" s="138"/>
      <c r="G242" s="138"/>
      <c r="H242" s="138"/>
      <c r="I242" s="138"/>
      <c r="J242" s="138"/>
      <c r="K242" s="130"/>
      <c r="L242" s="130"/>
      <c r="M242" s="130"/>
      <c r="N242" s="130"/>
      <c r="O242" s="130"/>
      <c r="P242" s="130"/>
      <c r="Q242" s="130"/>
      <c r="R242" s="130"/>
      <c r="S242" s="129"/>
      <c r="T242" s="129"/>
      <c r="U242" s="129"/>
      <c r="V242" s="130"/>
      <c r="W242" s="130"/>
      <c r="X242" s="130"/>
      <c r="Y242" s="130"/>
      <c r="Z242" s="152"/>
      <c r="AA242" s="130"/>
      <c r="AB242" s="130"/>
      <c r="AC242" s="130"/>
    </row>
    <row r="243" spans="1:29" ht="12.75" customHeight="1" x14ac:dyDescent="0.2">
      <c r="A243" s="129"/>
      <c r="B243" s="129"/>
      <c r="C243" s="143"/>
      <c r="D243" s="138"/>
      <c r="E243" s="129"/>
      <c r="F243" s="138"/>
      <c r="G243" s="138"/>
      <c r="H243" s="138"/>
      <c r="I243" s="138"/>
      <c r="J243" s="138"/>
      <c r="K243" s="130"/>
      <c r="L243" s="130"/>
      <c r="M243" s="130"/>
      <c r="N243" s="130"/>
      <c r="O243" s="130"/>
      <c r="P243" s="130"/>
      <c r="Q243" s="130"/>
      <c r="R243" s="130"/>
      <c r="S243" s="129"/>
      <c r="T243" s="129"/>
      <c r="U243" s="129"/>
      <c r="V243" s="130"/>
      <c r="W243" s="130"/>
      <c r="X243" s="130"/>
      <c r="Y243" s="130"/>
      <c r="Z243" s="152"/>
      <c r="AA243" s="130"/>
      <c r="AB243" s="130"/>
      <c r="AC243" s="130"/>
    </row>
    <row r="244" spans="1:29" ht="12.75" customHeight="1" x14ac:dyDescent="0.2">
      <c r="A244" s="129"/>
      <c r="B244" s="129"/>
      <c r="C244" s="143"/>
      <c r="D244" s="138"/>
      <c r="E244" s="129"/>
      <c r="F244" s="138"/>
      <c r="G244" s="138"/>
      <c r="H244" s="138"/>
      <c r="I244" s="138"/>
      <c r="J244" s="138"/>
      <c r="K244" s="130"/>
      <c r="L244" s="130"/>
      <c r="M244" s="130"/>
      <c r="N244" s="130"/>
      <c r="O244" s="130"/>
      <c r="P244" s="130"/>
      <c r="Q244" s="130"/>
      <c r="R244" s="130"/>
      <c r="S244" s="129"/>
      <c r="T244" s="129"/>
      <c r="U244" s="129"/>
      <c r="V244" s="130"/>
      <c r="W244" s="130"/>
      <c r="X244" s="130"/>
      <c r="Y244" s="130"/>
      <c r="Z244" s="152"/>
      <c r="AA244" s="130"/>
      <c r="AB244" s="130"/>
      <c r="AC244" s="130"/>
    </row>
    <row r="245" spans="1:29" ht="12.75" customHeight="1" x14ac:dyDescent="0.2">
      <c r="A245" s="129"/>
      <c r="B245" s="129"/>
      <c r="C245" s="143"/>
      <c r="D245" s="138"/>
      <c r="E245" s="129"/>
      <c r="F245" s="138"/>
      <c r="G245" s="138"/>
      <c r="H245" s="138"/>
      <c r="I245" s="138"/>
      <c r="J245" s="138"/>
      <c r="K245" s="130"/>
      <c r="L245" s="130"/>
      <c r="M245" s="130"/>
      <c r="N245" s="130"/>
      <c r="O245" s="130"/>
      <c r="P245" s="130"/>
      <c r="Q245" s="130"/>
      <c r="R245" s="130"/>
      <c r="S245" s="129"/>
      <c r="T245" s="129"/>
      <c r="U245" s="129"/>
      <c r="V245" s="130"/>
      <c r="W245" s="130"/>
      <c r="X245" s="130"/>
      <c r="Y245" s="130"/>
      <c r="Z245" s="152"/>
      <c r="AA245" s="130"/>
      <c r="AB245" s="130"/>
      <c r="AC245" s="130"/>
    </row>
    <row r="246" spans="1:29" ht="12.75" customHeight="1" x14ac:dyDescent="0.2">
      <c r="A246" s="129"/>
      <c r="B246" s="129"/>
      <c r="C246" s="143"/>
      <c r="D246" s="138"/>
      <c r="E246" s="129"/>
      <c r="F246" s="138"/>
      <c r="G246" s="138"/>
      <c r="H246" s="138"/>
      <c r="I246" s="138"/>
      <c r="J246" s="138"/>
      <c r="K246" s="130"/>
      <c r="L246" s="130"/>
      <c r="M246" s="130"/>
      <c r="N246" s="130"/>
      <c r="O246" s="130"/>
      <c r="P246" s="130"/>
      <c r="Q246" s="130"/>
      <c r="R246" s="130"/>
      <c r="S246" s="129"/>
      <c r="T246" s="129"/>
      <c r="U246" s="129"/>
      <c r="V246" s="130"/>
      <c r="W246" s="130"/>
      <c r="X246" s="130"/>
      <c r="Y246" s="130"/>
      <c r="Z246" s="152"/>
      <c r="AA246" s="130"/>
      <c r="AB246" s="130"/>
      <c r="AC246" s="130"/>
    </row>
    <row r="247" spans="1:29" ht="12.75" customHeight="1" x14ac:dyDescent="0.2">
      <c r="A247" s="129"/>
      <c r="B247" s="129"/>
      <c r="C247" s="143"/>
      <c r="D247" s="138"/>
      <c r="E247" s="129"/>
      <c r="F247" s="138"/>
      <c r="G247" s="138"/>
      <c r="H247" s="138"/>
      <c r="I247" s="138"/>
      <c r="J247" s="138"/>
      <c r="K247" s="130"/>
      <c r="L247" s="130"/>
      <c r="M247" s="130"/>
      <c r="N247" s="130"/>
      <c r="O247" s="130"/>
      <c r="P247" s="130"/>
      <c r="Q247" s="130"/>
      <c r="R247" s="130"/>
      <c r="S247" s="129"/>
      <c r="T247" s="129"/>
      <c r="U247" s="129"/>
      <c r="V247" s="130"/>
      <c r="W247" s="130"/>
      <c r="X247" s="130"/>
      <c r="Y247" s="130"/>
      <c r="Z247" s="152"/>
      <c r="AA247" s="130"/>
      <c r="AB247" s="130"/>
      <c r="AC247" s="130"/>
    </row>
    <row r="248" spans="1:29" ht="12.75" customHeight="1" x14ac:dyDescent="0.2">
      <c r="A248" s="129"/>
      <c r="B248" s="129"/>
      <c r="C248" s="143"/>
      <c r="D248" s="138"/>
      <c r="E248" s="129"/>
      <c r="F248" s="138"/>
      <c r="G248" s="138"/>
      <c r="H248" s="138"/>
      <c r="I248" s="138"/>
      <c r="J248" s="138"/>
      <c r="K248" s="130"/>
      <c r="L248" s="130"/>
      <c r="M248" s="130"/>
      <c r="N248" s="130"/>
      <c r="O248" s="130"/>
      <c r="P248" s="130"/>
      <c r="Q248" s="130"/>
      <c r="R248" s="130"/>
      <c r="S248" s="129"/>
      <c r="T248" s="129"/>
      <c r="U248" s="129"/>
      <c r="V248" s="130"/>
      <c r="W248" s="130"/>
      <c r="X248" s="130"/>
      <c r="Y248" s="130"/>
      <c r="Z248" s="152"/>
      <c r="AA248" s="130"/>
      <c r="AB248" s="130"/>
      <c r="AC248" s="130"/>
    </row>
    <row r="249" spans="1:29" ht="12.75" customHeight="1" x14ac:dyDescent="0.2">
      <c r="A249" s="129"/>
      <c r="B249" s="129"/>
      <c r="C249" s="143"/>
      <c r="D249" s="138"/>
      <c r="E249" s="129"/>
      <c r="F249" s="138"/>
      <c r="G249" s="138"/>
      <c r="H249" s="138"/>
      <c r="I249" s="138"/>
      <c r="J249" s="138"/>
      <c r="K249" s="130"/>
      <c r="L249" s="130"/>
      <c r="M249" s="130"/>
      <c r="N249" s="130"/>
      <c r="O249" s="130"/>
      <c r="P249" s="130"/>
      <c r="Q249" s="130"/>
      <c r="R249" s="130"/>
      <c r="S249" s="129"/>
      <c r="T249" s="129"/>
      <c r="U249" s="129"/>
      <c r="V249" s="130"/>
      <c r="W249" s="130"/>
      <c r="X249" s="130"/>
      <c r="Y249" s="130"/>
      <c r="Z249" s="152"/>
      <c r="AA249" s="130"/>
      <c r="AB249" s="130"/>
      <c r="AC249" s="130"/>
    </row>
    <row r="250" spans="1:29" ht="12.75" customHeight="1" x14ac:dyDescent="0.2">
      <c r="A250" s="129"/>
      <c r="B250" s="129"/>
      <c r="C250" s="143"/>
      <c r="D250" s="138"/>
      <c r="E250" s="129"/>
      <c r="F250" s="138"/>
      <c r="G250" s="138"/>
      <c r="H250" s="138"/>
      <c r="I250" s="138"/>
      <c r="J250" s="138"/>
      <c r="K250" s="130"/>
      <c r="L250" s="130"/>
      <c r="M250" s="130"/>
      <c r="N250" s="130"/>
      <c r="O250" s="130"/>
      <c r="P250" s="130"/>
      <c r="Q250" s="130"/>
      <c r="R250" s="130"/>
      <c r="S250" s="129"/>
      <c r="T250" s="129"/>
      <c r="U250" s="129"/>
      <c r="V250" s="130"/>
      <c r="W250" s="130"/>
      <c r="X250" s="130"/>
      <c r="Y250" s="130"/>
      <c r="Z250" s="152"/>
      <c r="AA250" s="130"/>
      <c r="AB250" s="130"/>
      <c r="AC250" s="130"/>
    </row>
    <row r="251" spans="1:29" ht="12.75" customHeight="1" x14ac:dyDescent="0.2">
      <c r="A251" s="129"/>
      <c r="B251" s="129"/>
      <c r="C251" s="143"/>
      <c r="D251" s="138"/>
      <c r="E251" s="129"/>
      <c r="F251" s="138"/>
      <c r="G251" s="138"/>
      <c r="H251" s="138"/>
      <c r="I251" s="138"/>
      <c r="J251" s="138"/>
      <c r="K251" s="130"/>
      <c r="L251" s="130"/>
      <c r="M251" s="130"/>
      <c r="N251" s="130"/>
      <c r="O251" s="130"/>
      <c r="P251" s="130"/>
      <c r="Q251" s="130"/>
      <c r="R251" s="130"/>
      <c r="S251" s="129"/>
      <c r="T251" s="129"/>
      <c r="U251" s="129"/>
      <c r="V251" s="130"/>
      <c r="W251" s="130"/>
      <c r="X251" s="130"/>
      <c r="Y251" s="130"/>
      <c r="Z251" s="152"/>
      <c r="AA251" s="130"/>
      <c r="AB251" s="130"/>
      <c r="AC251" s="130"/>
    </row>
    <row r="252" spans="1:29" ht="12.75" customHeight="1" x14ac:dyDescent="0.2">
      <c r="A252" s="129"/>
      <c r="B252" s="129"/>
      <c r="C252" s="143"/>
      <c r="D252" s="138"/>
      <c r="E252" s="129"/>
      <c r="F252" s="138"/>
      <c r="G252" s="138"/>
      <c r="H252" s="138"/>
      <c r="I252" s="138"/>
      <c r="J252" s="138"/>
      <c r="K252" s="130"/>
      <c r="L252" s="130"/>
      <c r="M252" s="130"/>
      <c r="N252" s="130"/>
      <c r="O252" s="130"/>
      <c r="P252" s="130"/>
      <c r="Q252" s="130"/>
      <c r="R252" s="130"/>
      <c r="S252" s="129"/>
      <c r="T252" s="129"/>
      <c r="U252" s="129"/>
      <c r="V252" s="130"/>
      <c r="W252" s="130"/>
      <c r="X252" s="130"/>
      <c r="Y252" s="130"/>
      <c r="Z252" s="152"/>
      <c r="AA252" s="130"/>
      <c r="AB252" s="130"/>
      <c r="AC252" s="130"/>
    </row>
    <row r="253" spans="1:29" ht="12.75" customHeight="1" x14ac:dyDescent="0.2">
      <c r="A253" s="129"/>
      <c r="B253" s="129"/>
      <c r="C253" s="143"/>
      <c r="D253" s="138"/>
      <c r="E253" s="129"/>
      <c r="F253" s="138"/>
      <c r="G253" s="138"/>
      <c r="H253" s="138"/>
      <c r="I253" s="138"/>
      <c r="J253" s="138"/>
      <c r="K253" s="130"/>
      <c r="L253" s="130"/>
      <c r="M253" s="130"/>
      <c r="N253" s="130"/>
      <c r="O253" s="130"/>
      <c r="P253" s="130"/>
      <c r="Q253" s="130"/>
      <c r="R253" s="130"/>
      <c r="S253" s="129"/>
      <c r="T253" s="129"/>
      <c r="U253" s="129"/>
      <c r="V253" s="130"/>
      <c r="W253" s="130"/>
      <c r="X253" s="130"/>
      <c r="Y253" s="130"/>
      <c r="Z253" s="152"/>
      <c r="AA253" s="130"/>
      <c r="AB253" s="130"/>
      <c r="AC253" s="130"/>
    </row>
    <row r="254" spans="1:29" ht="12.75" customHeight="1" x14ac:dyDescent="0.2">
      <c r="A254" s="129"/>
      <c r="B254" s="129"/>
      <c r="C254" s="143"/>
      <c r="D254" s="138"/>
      <c r="E254" s="129"/>
      <c r="F254" s="138"/>
      <c r="G254" s="138"/>
      <c r="H254" s="138"/>
      <c r="I254" s="138"/>
      <c r="J254" s="138"/>
      <c r="K254" s="130"/>
      <c r="L254" s="130"/>
      <c r="M254" s="130"/>
      <c r="N254" s="130"/>
      <c r="O254" s="130"/>
      <c r="P254" s="130"/>
      <c r="Q254" s="130"/>
      <c r="R254" s="130"/>
      <c r="S254" s="129"/>
      <c r="T254" s="129"/>
      <c r="U254" s="129"/>
      <c r="V254" s="130"/>
      <c r="W254" s="130"/>
      <c r="X254" s="130"/>
      <c r="Y254" s="130"/>
      <c r="Z254" s="152"/>
      <c r="AA254" s="130"/>
      <c r="AB254" s="130"/>
      <c r="AC254" s="130"/>
    </row>
    <row r="255" spans="1:29" ht="12.75" customHeight="1" x14ac:dyDescent="0.2">
      <c r="A255" s="129"/>
      <c r="B255" s="129"/>
      <c r="C255" s="143"/>
      <c r="D255" s="138"/>
      <c r="E255" s="129"/>
      <c r="F255" s="138"/>
      <c r="G255" s="138"/>
      <c r="H255" s="138"/>
      <c r="I255" s="138"/>
      <c r="J255" s="138"/>
      <c r="K255" s="130"/>
      <c r="L255" s="130"/>
      <c r="M255" s="130"/>
      <c r="N255" s="130"/>
      <c r="O255" s="130"/>
      <c r="P255" s="130"/>
      <c r="Q255" s="130"/>
      <c r="R255" s="130"/>
      <c r="S255" s="129"/>
      <c r="T255" s="129"/>
      <c r="U255" s="129"/>
      <c r="V255" s="130"/>
      <c r="W255" s="130"/>
      <c r="X255" s="130"/>
      <c r="Y255" s="130"/>
      <c r="Z255" s="152"/>
      <c r="AA255" s="130"/>
      <c r="AB255" s="130"/>
      <c r="AC255" s="130"/>
    </row>
    <row r="256" spans="1:29" ht="12.75" customHeight="1" x14ac:dyDescent="0.2">
      <c r="A256" s="129"/>
      <c r="B256" s="129"/>
      <c r="C256" s="143"/>
      <c r="D256" s="138"/>
      <c r="E256" s="129"/>
      <c r="F256" s="138"/>
      <c r="G256" s="138"/>
      <c r="H256" s="138"/>
      <c r="I256" s="138"/>
      <c r="J256" s="138"/>
      <c r="K256" s="130"/>
      <c r="L256" s="130"/>
      <c r="M256" s="130"/>
      <c r="N256" s="130"/>
      <c r="O256" s="130"/>
      <c r="P256" s="130"/>
      <c r="Q256" s="130"/>
      <c r="R256" s="130"/>
      <c r="S256" s="129"/>
      <c r="T256" s="129"/>
      <c r="U256" s="129"/>
      <c r="V256" s="130"/>
      <c r="W256" s="130"/>
      <c r="X256" s="130"/>
      <c r="Y256" s="130"/>
      <c r="Z256" s="152"/>
      <c r="AA256" s="130"/>
      <c r="AB256" s="130"/>
      <c r="AC256" s="130"/>
    </row>
    <row r="257" spans="1:29" ht="12.75" customHeight="1" x14ac:dyDescent="0.2">
      <c r="A257" s="129"/>
      <c r="B257" s="129"/>
      <c r="C257" s="143"/>
      <c r="D257" s="138"/>
      <c r="E257" s="129"/>
      <c r="F257" s="138"/>
      <c r="G257" s="138"/>
      <c r="H257" s="138"/>
      <c r="I257" s="138"/>
      <c r="J257" s="138"/>
      <c r="K257" s="130"/>
      <c r="L257" s="130"/>
      <c r="M257" s="130"/>
      <c r="N257" s="130"/>
      <c r="O257" s="130"/>
      <c r="P257" s="130"/>
      <c r="Q257" s="130"/>
      <c r="R257" s="130"/>
      <c r="S257" s="129"/>
      <c r="T257" s="129"/>
      <c r="U257" s="129"/>
      <c r="V257" s="130"/>
      <c r="W257" s="130"/>
      <c r="X257" s="130"/>
      <c r="Y257" s="130"/>
      <c r="Z257" s="152"/>
      <c r="AA257" s="130"/>
      <c r="AB257" s="130"/>
      <c r="AC257" s="130"/>
    </row>
    <row r="258" spans="1:29" ht="12.75" customHeight="1" x14ac:dyDescent="0.2">
      <c r="A258" s="129"/>
      <c r="B258" s="129"/>
      <c r="C258" s="143"/>
      <c r="D258" s="138"/>
      <c r="E258" s="129"/>
      <c r="F258" s="138"/>
      <c r="G258" s="138"/>
      <c r="H258" s="138"/>
      <c r="I258" s="138"/>
      <c r="J258" s="138"/>
      <c r="K258" s="130"/>
      <c r="L258" s="130"/>
      <c r="M258" s="130"/>
      <c r="N258" s="130"/>
      <c r="O258" s="130"/>
      <c r="P258" s="130"/>
      <c r="Q258" s="130"/>
      <c r="R258" s="130"/>
      <c r="S258" s="129"/>
      <c r="T258" s="129"/>
      <c r="U258" s="129"/>
      <c r="V258" s="130"/>
      <c r="W258" s="130"/>
      <c r="X258" s="130"/>
      <c r="Y258" s="130"/>
      <c r="Z258" s="152"/>
      <c r="AA258" s="130"/>
      <c r="AB258" s="130"/>
      <c r="AC258" s="130"/>
    </row>
    <row r="259" spans="1:29" ht="12.75" customHeight="1" x14ac:dyDescent="0.2">
      <c r="A259" s="129"/>
      <c r="B259" s="129"/>
      <c r="C259" s="143"/>
      <c r="D259" s="138"/>
      <c r="E259" s="129"/>
      <c r="F259" s="138"/>
      <c r="G259" s="138"/>
      <c r="H259" s="138"/>
      <c r="I259" s="138"/>
      <c r="J259" s="138"/>
      <c r="K259" s="130"/>
      <c r="L259" s="130"/>
      <c r="M259" s="130"/>
      <c r="N259" s="130"/>
      <c r="O259" s="130"/>
      <c r="P259" s="130"/>
      <c r="Q259" s="130"/>
      <c r="R259" s="130"/>
      <c r="S259" s="129"/>
      <c r="T259" s="129"/>
      <c r="U259" s="129"/>
      <c r="V259" s="130"/>
      <c r="W259" s="130"/>
      <c r="X259" s="130"/>
      <c r="Y259" s="130"/>
      <c r="Z259" s="152"/>
      <c r="AA259" s="130"/>
      <c r="AB259" s="130"/>
      <c r="AC259" s="130"/>
    </row>
    <row r="260" spans="1:29" ht="12.75" customHeight="1" x14ac:dyDescent="0.2">
      <c r="A260" s="129"/>
      <c r="B260" s="129"/>
      <c r="C260" s="143"/>
      <c r="D260" s="138"/>
      <c r="E260" s="129"/>
      <c r="F260" s="138"/>
      <c r="G260" s="138"/>
      <c r="H260" s="138"/>
      <c r="I260" s="138"/>
      <c r="J260" s="138"/>
      <c r="K260" s="130"/>
      <c r="L260" s="130"/>
      <c r="M260" s="130"/>
      <c r="N260" s="130"/>
      <c r="O260" s="130"/>
      <c r="P260" s="130"/>
      <c r="Q260" s="130"/>
      <c r="R260" s="130"/>
      <c r="S260" s="129"/>
      <c r="T260" s="129"/>
      <c r="U260" s="129"/>
      <c r="V260" s="130"/>
      <c r="W260" s="130"/>
      <c r="X260" s="130"/>
      <c r="Y260" s="130"/>
      <c r="Z260" s="152"/>
      <c r="AA260" s="130"/>
      <c r="AB260" s="130"/>
      <c r="AC260" s="130"/>
    </row>
    <row r="261" spans="1:29" ht="12.75" customHeight="1" x14ac:dyDescent="0.2">
      <c r="A261" s="129"/>
      <c r="B261" s="129"/>
      <c r="C261" s="143"/>
      <c r="D261" s="138"/>
      <c r="E261" s="129"/>
      <c r="F261" s="138"/>
      <c r="G261" s="138"/>
      <c r="H261" s="138"/>
      <c r="I261" s="138"/>
      <c r="J261" s="138"/>
      <c r="K261" s="130"/>
      <c r="L261" s="130"/>
      <c r="M261" s="130"/>
      <c r="N261" s="130"/>
      <c r="O261" s="130"/>
      <c r="P261" s="130"/>
      <c r="Q261" s="130"/>
      <c r="R261" s="130"/>
      <c r="S261" s="129"/>
      <c r="T261" s="129"/>
      <c r="U261" s="129"/>
      <c r="V261" s="130"/>
      <c r="W261" s="130"/>
      <c r="X261" s="130"/>
      <c r="Y261" s="130"/>
      <c r="Z261" s="152"/>
      <c r="AA261" s="130"/>
      <c r="AB261" s="130"/>
      <c r="AC261" s="130"/>
    </row>
    <row r="262" spans="1:29" ht="12.75" customHeight="1" x14ac:dyDescent="0.2">
      <c r="A262" s="129"/>
      <c r="B262" s="129"/>
      <c r="C262" s="143"/>
      <c r="D262" s="138"/>
      <c r="E262" s="129"/>
      <c r="F262" s="138"/>
      <c r="G262" s="138"/>
      <c r="H262" s="138"/>
      <c r="I262" s="138"/>
      <c r="J262" s="138"/>
      <c r="K262" s="130"/>
      <c r="L262" s="130"/>
      <c r="M262" s="130"/>
      <c r="N262" s="130"/>
      <c r="O262" s="130"/>
      <c r="P262" s="130"/>
      <c r="Q262" s="130"/>
      <c r="R262" s="130"/>
      <c r="S262" s="129"/>
      <c r="T262" s="129"/>
      <c r="U262" s="129"/>
      <c r="V262" s="130"/>
      <c r="W262" s="130"/>
      <c r="X262" s="130"/>
      <c r="Y262" s="130"/>
      <c r="Z262" s="152"/>
      <c r="AA262" s="130"/>
      <c r="AB262" s="130"/>
      <c r="AC262" s="130"/>
    </row>
    <row r="263" spans="1:29" ht="12.75" customHeight="1" x14ac:dyDescent="0.2">
      <c r="A263" s="129"/>
      <c r="B263" s="129"/>
      <c r="C263" s="143"/>
      <c r="D263" s="138"/>
      <c r="E263" s="129"/>
      <c r="F263" s="138"/>
      <c r="G263" s="138"/>
      <c r="H263" s="138"/>
      <c r="I263" s="138"/>
      <c r="J263" s="138"/>
      <c r="K263" s="130"/>
      <c r="L263" s="130"/>
      <c r="M263" s="130"/>
      <c r="N263" s="130"/>
      <c r="O263" s="130"/>
      <c r="P263" s="130"/>
      <c r="Q263" s="130"/>
      <c r="R263" s="130"/>
      <c r="S263" s="129"/>
      <c r="T263" s="129"/>
      <c r="U263" s="129"/>
      <c r="V263" s="130"/>
      <c r="W263" s="130"/>
      <c r="X263" s="130"/>
      <c r="Y263" s="130"/>
      <c r="Z263" s="152"/>
      <c r="AA263" s="130"/>
      <c r="AB263" s="130"/>
      <c r="AC263" s="130"/>
    </row>
    <row r="264" spans="1:29" ht="12.75" customHeight="1" x14ac:dyDescent="0.2">
      <c r="A264" s="129"/>
      <c r="B264" s="129"/>
      <c r="C264" s="143"/>
      <c r="D264" s="138"/>
      <c r="E264" s="129"/>
      <c r="F264" s="138"/>
      <c r="G264" s="138"/>
      <c r="H264" s="138"/>
      <c r="I264" s="138"/>
      <c r="J264" s="138"/>
      <c r="K264" s="130"/>
      <c r="L264" s="130"/>
      <c r="M264" s="130"/>
      <c r="N264" s="130"/>
      <c r="O264" s="130"/>
      <c r="P264" s="130"/>
      <c r="Q264" s="130"/>
      <c r="R264" s="130"/>
      <c r="S264" s="129"/>
      <c r="T264" s="129"/>
      <c r="U264" s="129"/>
      <c r="V264" s="130"/>
      <c r="W264" s="130"/>
      <c r="X264" s="130"/>
      <c r="Y264" s="130"/>
      <c r="Z264" s="152"/>
      <c r="AA264" s="130"/>
      <c r="AB264" s="130"/>
      <c r="AC264" s="130"/>
    </row>
    <row r="265" spans="1:29" ht="12.75" customHeight="1" x14ac:dyDescent="0.2">
      <c r="A265" s="129"/>
      <c r="B265" s="129"/>
      <c r="C265" s="143"/>
      <c r="D265" s="138"/>
      <c r="E265" s="129"/>
      <c r="F265" s="138"/>
      <c r="G265" s="138"/>
      <c r="H265" s="138"/>
      <c r="I265" s="138"/>
      <c r="J265" s="138"/>
      <c r="K265" s="130"/>
      <c r="L265" s="130"/>
      <c r="M265" s="130"/>
      <c r="N265" s="130"/>
      <c r="O265" s="130"/>
      <c r="P265" s="130"/>
      <c r="Q265" s="130"/>
      <c r="R265" s="130"/>
      <c r="S265" s="129"/>
      <c r="T265" s="129"/>
      <c r="U265" s="129"/>
      <c r="V265" s="130"/>
      <c r="W265" s="130"/>
      <c r="X265" s="130"/>
      <c r="Y265" s="130"/>
      <c r="Z265" s="152"/>
      <c r="AA265" s="130"/>
      <c r="AB265" s="130"/>
      <c r="AC265" s="130"/>
    </row>
    <row r="266" spans="1:29" ht="12.75" customHeight="1" x14ac:dyDescent="0.2">
      <c r="A266" s="129"/>
      <c r="B266" s="129"/>
      <c r="C266" s="143"/>
      <c r="D266" s="138"/>
      <c r="E266" s="129"/>
      <c r="F266" s="138"/>
      <c r="G266" s="138"/>
      <c r="H266" s="138"/>
      <c r="I266" s="138"/>
      <c r="J266" s="138"/>
      <c r="K266" s="130"/>
      <c r="L266" s="130"/>
      <c r="M266" s="130"/>
      <c r="N266" s="130"/>
      <c r="O266" s="130"/>
      <c r="P266" s="130"/>
      <c r="Q266" s="130"/>
      <c r="R266" s="130"/>
      <c r="S266" s="129"/>
      <c r="T266" s="129"/>
      <c r="U266" s="129"/>
      <c r="V266" s="130"/>
      <c r="W266" s="130"/>
      <c r="X266" s="130"/>
      <c r="Y266" s="130"/>
      <c r="Z266" s="152"/>
      <c r="AA266" s="130"/>
      <c r="AB266" s="130"/>
      <c r="AC266" s="130"/>
    </row>
    <row r="267" spans="1:29" ht="12.75" customHeight="1" x14ac:dyDescent="0.2">
      <c r="A267" s="129"/>
      <c r="B267" s="129"/>
      <c r="C267" s="143"/>
      <c r="D267" s="138"/>
      <c r="E267" s="129"/>
      <c r="F267" s="138"/>
      <c r="G267" s="138"/>
      <c r="H267" s="138"/>
      <c r="I267" s="138"/>
      <c r="J267" s="138"/>
      <c r="K267" s="130"/>
      <c r="L267" s="130"/>
      <c r="M267" s="130"/>
      <c r="N267" s="130"/>
      <c r="O267" s="130"/>
      <c r="P267" s="130"/>
      <c r="Q267" s="130"/>
      <c r="R267" s="130"/>
      <c r="S267" s="129"/>
      <c r="T267" s="129"/>
      <c r="U267" s="129"/>
      <c r="V267" s="130"/>
      <c r="W267" s="130"/>
      <c r="X267" s="130"/>
      <c r="Y267" s="130"/>
      <c r="Z267" s="152"/>
      <c r="AA267" s="130"/>
      <c r="AB267" s="130"/>
      <c r="AC267" s="130"/>
    </row>
    <row r="268" spans="1:29" ht="12.75" customHeight="1" x14ac:dyDescent="0.2">
      <c r="A268" s="129"/>
      <c r="B268" s="129"/>
      <c r="C268" s="143"/>
      <c r="D268" s="138"/>
      <c r="E268" s="129"/>
      <c r="F268" s="138"/>
      <c r="G268" s="138"/>
      <c r="H268" s="138"/>
      <c r="I268" s="138"/>
      <c r="J268" s="138"/>
      <c r="K268" s="130"/>
      <c r="L268" s="130"/>
      <c r="M268" s="130"/>
      <c r="N268" s="130"/>
      <c r="O268" s="130"/>
      <c r="P268" s="130"/>
      <c r="Q268" s="130"/>
      <c r="R268" s="130"/>
      <c r="S268" s="129"/>
      <c r="T268" s="129"/>
      <c r="U268" s="129"/>
      <c r="V268" s="130"/>
      <c r="W268" s="130"/>
      <c r="X268" s="130"/>
      <c r="Y268" s="130"/>
      <c r="Z268" s="152"/>
      <c r="AA268" s="130"/>
      <c r="AB268" s="130"/>
      <c r="AC268" s="130"/>
    </row>
    <row r="269" spans="1:29" ht="12.75" customHeight="1" x14ac:dyDescent="0.2">
      <c r="A269" s="129"/>
      <c r="B269" s="129"/>
      <c r="C269" s="143"/>
      <c r="D269" s="138"/>
      <c r="E269" s="129"/>
      <c r="F269" s="138"/>
      <c r="G269" s="138"/>
      <c r="H269" s="138"/>
      <c r="I269" s="138"/>
      <c r="J269" s="138"/>
      <c r="K269" s="130"/>
      <c r="L269" s="130"/>
      <c r="M269" s="130"/>
      <c r="N269" s="130"/>
      <c r="O269" s="130"/>
      <c r="P269" s="130"/>
      <c r="Q269" s="130"/>
      <c r="R269" s="130"/>
      <c r="S269" s="129"/>
      <c r="T269" s="129"/>
      <c r="U269" s="129"/>
      <c r="V269" s="130"/>
      <c r="W269" s="130"/>
      <c r="X269" s="130"/>
      <c r="Y269" s="130"/>
      <c r="Z269" s="152"/>
      <c r="AA269" s="130"/>
      <c r="AB269" s="130"/>
      <c r="AC269" s="130"/>
    </row>
    <row r="270" spans="1:29" ht="12.75" customHeight="1" x14ac:dyDescent="0.2">
      <c r="A270" s="129"/>
      <c r="B270" s="129"/>
      <c r="C270" s="143"/>
      <c r="D270" s="138"/>
      <c r="E270" s="129"/>
      <c r="F270" s="138"/>
      <c r="G270" s="138"/>
      <c r="H270" s="138"/>
      <c r="I270" s="138"/>
      <c r="J270" s="138"/>
      <c r="K270" s="130"/>
      <c r="L270" s="130"/>
      <c r="M270" s="130"/>
      <c r="N270" s="130"/>
      <c r="O270" s="130"/>
      <c r="P270" s="130"/>
      <c r="Q270" s="130"/>
      <c r="R270" s="130"/>
      <c r="S270" s="129"/>
      <c r="T270" s="129"/>
      <c r="U270" s="129"/>
      <c r="V270" s="130"/>
      <c r="W270" s="130"/>
      <c r="X270" s="130"/>
      <c r="Y270" s="130"/>
      <c r="Z270" s="152"/>
      <c r="AA270" s="130"/>
      <c r="AB270" s="130"/>
      <c r="AC270" s="130"/>
    </row>
    <row r="271" spans="1:29" ht="12.75" customHeight="1" x14ac:dyDescent="0.2">
      <c r="A271" s="129"/>
      <c r="B271" s="129"/>
      <c r="C271" s="143"/>
      <c r="D271" s="138"/>
      <c r="E271" s="129"/>
      <c r="F271" s="138"/>
      <c r="G271" s="138"/>
      <c r="H271" s="138"/>
      <c r="I271" s="138"/>
      <c r="J271" s="138"/>
      <c r="K271" s="130"/>
      <c r="L271" s="130"/>
      <c r="M271" s="130"/>
      <c r="N271" s="130"/>
      <c r="O271" s="130"/>
      <c r="P271" s="130"/>
      <c r="Q271" s="130"/>
      <c r="R271" s="130"/>
      <c r="S271" s="129"/>
      <c r="T271" s="129"/>
      <c r="U271" s="129"/>
      <c r="V271" s="130"/>
      <c r="W271" s="130"/>
      <c r="X271" s="130"/>
      <c r="Y271" s="130"/>
      <c r="Z271" s="152"/>
      <c r="AA271" s="130"/>
      <c r="AB271" s="130"/>
      <c r="AC271" s="130"/>
    </row>
    <row r="272" spans="1:29" ht="12.75" customHeight="1" x14ac:dyDescent="0.2">
      <c r="A272" s="129"/>
      <c r="B272" s="129"/>
      <c r="C272" s="143"/>
      <c r="D272" s="138"/>
      <c r="E272" s="129"/>
      <c r="F272" s="138"/>
      <c r="G272" s="138"/>
      <c r="H272" s="138"/>
      <c r="I272" s="138"/>
      <c r="J272" s="138"/>
      <c r="K272" s="130"/>
      <c r="L272" s="130"/>
      <c r="M272" s="130"/>
      <c r="N272" s="130"/>
      <c r="O272" s="130"/>
      <c r="P272" s="130"/>
      <c r="Q272" s="130"/>
      <c r="R272" s="130"/>
      <c r="S272" s="129"/>
      <c r="T272" s="129"/>
      <c r="U272" s="129"/>
      <c r="V272" s="130"/>
      <c r="W272" s="130"/>
      <c r="X272" s="130"/>
      <c r="Y272" s="130"/>
      <c r="Z272" s="152"/>
      <c r="AA272" s="130"/>
      <c r="AB272" s="130"/>
      <c r="AC272" s="130"/>
    </row>
    <row r="273" spans="1:29" ht="12.75" customHeight="1" x14ac:dyDescent="0.2">
      <c r="A273" s="129"/>
      <c r="B273" s="129"/>
      <c r="C273" s="143"/>
      <c r="D273" s="138"/>
      <c r="E273" s="129"/>
      <c r="F273" s="138"/>
      <c r="G273" s="138"/>
      <c r="H273" s="138"/>
      <c r="I273" s="138"/>
      <c r="J273" s="138"/>
      <c r="K273" s="130"/>
      <c r="L273" s="130"/>
      <c r="M273" s="130"/>
      <c r="N273" s="130"/>
      <c r="O273" s="130"/>
      <c r="P273" s="130"/>
      <c r="Q273" s="130"/>
      <c r="R273" s="130"/>
      <c r="S273" s="129"/>
      <c r="T273" s="129"/>
      <c r="U273" s="129"/>
      <c r="V273" s="130"/>
      <c r="W273" s="130"/>
      <c r="X273" s="130"/>
      <c r="Y273" s="130"/>
      <c r="Z273" s="152"/>
      <c r="AA273" s="130"/>
      <c r="AB273" s="130"/>
      <c r="AC273" s="130"/>
    </row>
    <row r="274" spans="1:29" ht="12.75" customHeight="1" x14ac:dyDescent="0.2">
      <c r="A274" s="129"/>
      <c r="B274" s="129"/>
      <c r="C274" s="143"/>
      <c r="D274" s="138"/>
      <c r="E274" s="129"/>
      <c r="F274" s="138"/>
      <c r="G274" s="138"/>
      <c r="H274" s="138"/>
      <c r="I274" s="138"/>
      <c r="J274" s="138"/>
      <c r="K274" s="130"/>
      <c r="L274" s="130"/>
      <c r="M274" s="130"/>
      <c r="N274" s="130"/>
      <c r="O274" s="130"/>
      <c r="P274" s="130"/>
      <c r="Q274" s="130"/>
      <c r="R274" s="130"/>
      <c r="S274" s="129"/>
      <c r="T274" s="129"/>
      <c r="U274" s="129"/>
      <c r="V274" s="130"/>
      <c r="W274" s="130"/>
      <c r="X274" s="130"/>
      <c r="Y274" s="130"/>
      <c r="Z274" s="152"/>
      <c r="AA274" s="130"/>
      <c r="AB274" s="130"/>
      <c r="AC274" s="130"/>
    </row>
    <row r="275" spans="1:29" ht="12.75" customHeight="1" x14ac:dyDescent="0.2">
      <c r="A275" s="129"/>
      <c r="B275" s="129"/>
      <c r="C275" s="143"/>
      <c r="D275" s="138"/>
      <c r="E275" s="129"/>
      <c r="F275" s="138"/>
      <c r="G275" s="138"/>
      <c r="H275" s="138"/>
      <c r="I275" s="138"/>
      <c r="J275" s="138"/>
      <c r="K275" s="130"/>
      <c r="L275" s="130"/>
      <c r="M275" s="130"/>
      <c r="N275" s="130"/>
      <c r="O275" s="130"/>
      <c r="P275" s="130"/>
      <c r="Q275" s="130"/>
      <c r="R275" s="130"/>
      <c r="S275" s="129"/>
      <c r="T275" s="129"/>
      <c r="U275" s="129"/>
      <c r="V275" s="130"/>
      <c r="W275" s="130"/>
      <c r="X275" s="130"/>
      <c r="Y275" s="130"/>
      <c r="Z275" s="152"/>
      <c r="AA275" s="130"/>
      <c r="AB275" s="130"/>
      <c r="AC275" s="130"/>
    </row>
    <row r="276" spans="1:29" ht="12.75" customHeight="1" x14ac:dyDescent="0.2">
      <c r="A276" s="129"/>
      <c r="B276" s="129"/>
      <c r="C276" s="143"/>
      <c r="D276" s="138"/>
      <c r="E276" s="129"/>
      <c r="F276" s="138"/>
      <c r="G276" s="138"/>
      <c r="H276" s="138"/>
      <c r="I276" s="138"/>
      <c r="J276" s="138"/>
      <c r="K276" s="130"/>
      <c r="L276" s="130"/>
      <c r="M276" s="130"/>
      <c r="N276" s="130"/>
      <c r="O276" s="130"/>
      <c r="P276" s="130"/>
      <c r="Q276" s="130"/>
      <c r="R276" s="130"/>
      <c r="S276" s="129"/>
      <c r="T276" s="129"/>
      <c r="U276" s="129"/>
      <c r="V276" s="130"/>
      <c r="W276" s="130"/>
      <c r="X276" s="130"/>
      <c r="Y276" s="130"/>
      <c r="Z276" s="152"/>
      <c r="AA276" s="130"/>
      <c r="AB276" s="130"/>
      <c r="AC276" s="130"/>
    </row>
    <row r="277" spans="1:29" ht="12.75" customHeight="1" x14ac:dyDescent="0.2">
      <c r="A277" s="129"/>
      <c r="B277" s="129"/>
      <c r="C277" s="143"/>
      <c r="D277" s="138"/>
      <c r="E277" s="129"/>
      <c r="F277" s="138"/>
      <c r="G277" s="138"/>
      <c r="H277" s="138"/>
      <c r="I277" s="138"/>
      <c r="J277" s="138"/>
      <c r="K277" s="130"/>
      <c r="L277" s="130"/>
      <c r="M277" s="130"/>
      <c r="N277" s="130"/>
      <c r="O277" s="130"/>
      <c r="P277" s="130"/>
      <c r="Q277" s="130"/>
      <c r="R277" s="130"/>
      <c r="S277" s="129"/>
      <c r="T277" s="129"/>
      <c r="U277" s="129"/>
      <c r="V277" s="130"/>
      <c r="W277" s="130"/>
      <c r="X277" s="130"/>
      <c r="Y277" s="130"/>
      <c r="Z277" s="152"/>
      <c r="AA277" s="130"/>
      <c r="AB277" s="130"/>
      <c r="AC277" s="130"/>
    </row>
    <row r="278" spans="1:29" ht="12.75" customHeight="1" x14ac:dyDescent="0.2">
      <c r="A278" s="129"/>
      <c r="B278" s="129"/>
      <c r="C278" s="143"/>
      <c r="D278" s="138"/>
      <c r="E278" s="129"/>
      <c r="F278" s="138"/>
      <c r="G278" s="138"/>
      <c r="H278" s="138"/>
      <c r="I278" s="138"/>
      <c r="J278" s="138"/>
      <c r="K278" s="130"/>
      <c r="L278" s="130"/>
      <c r="M278" s="130"/>
      <c r="N278" s="130"/>
      <c r="O278" s="130"/>
      <c r="P278" s="130"/>
      <c r="Q278" s="130"/>
      <c r="R278" s="130"/>
      <c r="S278" s="129"/>
      <c r="T278" s="129"/>
      <c r="U278" s="129"/>
      <c r="V278" s="130"/>
      <c r="W278" s="130"/>
      <c r="X278" s="130"/>
      <c r="Y278" s="130"/>
      <c r="Z278" s="152"/>
      <c r="AA278" s="130"/>
      <c r="AB278" s="130"/>
      <c r="AC278" s="130"/>
    </row>
    <row r="279" spans="1:29" ht="12.75" customHeight="1" x14ac:dyDescent="0.2">
      <c r="A279" s="129"/>
      <c r="B279" s="129"/>
      <c r="C279" s="143"/>
      <c r="D279" s="138"/>
      <c r="E279" s="129"/>
      <c r="F279" s="138"/>
      <c r="G279" s="138"/>
      <c r="H279" s="138"/>
      <c r="I279" s="138"/>
      <c r="J279" s="138"/>
      <c r="K279" s="130"/>
      <c r="L279" s="130"/>
      <c r="M279" s="130"/>
      <c r="N279" s="130"/>
      <c r="O279" s="130"/>
      <c r="P279" s="130"/>
      <c r="Q279" s="130"/>
      <c r="R279" s="130"/>
      <c r="S279" s="129"/>
      <c r="T279" s="129"/>
      <c r="U279" s="129"/>
      <c r="V279" s="130"/>
      <c r="W279" s="130"/>
      <c r="X279" s="130"/>
      <c r="Y279" s="130"/>
      <c r="Z279" s="152"/>
      <c r="AA279" s="130"/>
      <c r="AB279" s="130"/>
      <c r="AC279" s="130"/>
    </row>
    <row r="280" spans="1:29" ht="12.75" customHeight="1" x14ac:dyDescent="0.2">
      <c r="A280" s="129"/>
      <c r="B280" s="129"/>
      <c r="C280" s="143"/>
      <c r="D280" s="138"/>
      <c r="E280" s="129"/>
      <c r="F280" s="138"/>
      <c r="G280" s="138"/>
      <c r="H280" s="138"/>
      <c r="I280" s="138"/>
      <c r="J280" s="138"/>
      <c r="K280" s="130"/>
      <c r="L280" s="130"/>
      <c r="M280" s="130"/>
      <c r="N280" s="130"/>
      <c r="O280" s="130"/>
      <c r="P280" s="130"/>
      <c r="Q280" s="130"/>
      <c r="R280" s="130"/>
      <c r="S280" s="129"/>
      <c r="T280" s="129"/>
      <c r="U280" s="129"/>
      <c r="V280" s="130"/>
      <c r="W280" s="130"/>
      <c r="X280" s="130"/>
      <c r="Y280" s="130"/>
      <c r="Z280" s="152"/>
      <c r="AA280" s="130"/>
      <c r="AB280" s="130"/>
      <c r="AC280" s="130"/>
    </row>
    <row r="281" spans="1:29" ht="12.75" customHeight="1" x14ac:dyDescent="0.2">
      <c r="A281" s="129"/>
      <c r="B281" s="129"/>
      <c r="C281" s="143"/>
      <c r="D281" s="138"/>
      <c r="E281" s="129"/>
      <c r="F281" s="138"/>
      <c r="G281" s="138"/>
      <c r="H281" s="138"/>
      <c r="I281" s="138"/>
      <c r="J281" s="138"/>
      <c r="K281" s="130"/>
      <c r="L281" s="130"/>
      <c r="M281" s="130"/>
      <c r="N281" s="130"/>
      <c r="O281" s="130"/>
      <c r="P281" s="130"/>
      <c r="Q281" s="130"/>
      <c r="R281" s="130"/>
      <c r="S281" s="129"/>
      <c r="T281" s="129"/>
      <c r="U281" s="129"/>
      <c r="V281" s="130"/>
      <c r="W281" s="130"/>
      <c r="X281" s="130"/>
      <c r="Y281" s="130"/>
      <c r="Z281" s="152"/>
      <c r="AA281" s="130"/>
      <c r="AB281" s="130"/>
      <c r="AC281" s="130"/>
    </row>
    <row r="282" spans="1:29" ht="12.75" customHeight="1" x14ac:dyDescent="0.2">
      <c r="A282" s="129"/>
      <c r="B282" s="129"/>
      <c r="C282" s="143"/>
      <c r="D282" s="138"/>
      <c r="E282" s="129"/>
      <c r="F282" s="138"/>
      <c r="G282" s="138"/>
      <c r="H282" s="138"/>
      <c r="I282" s="138"/>
      <c r="J282" s="138"/>
      <c r="K282" s="130"/>
      <c r="L282" s="130"/>
      <c r="M282" s="130"/>
      <c r="N282" s="130"/>
      <c r="O282" s="130"/>
      <c r="P282" s="130"/>
      <c r="Q282" s="130"/>
      <c r="R282" s="130"/>
      <c r="S282" s="129"/>
      <c r="T282" s="129"/>
      <c r="U282" s="129"/>
      <c r="V282" s="130"/>
      <c r="W282" s="130"/>
      <c r="X282" s="130"/>
      <c r="Y282" s="130"/>
      <c r="Z282" s="152"/>
      <c r="AA282" s="130"/>
      <c r="AB282" s="130"/>
      <c r="AC282" s="130"/>
    </row>
    <row r="283" spans="1:29" ht="12.75" customHeight="1" x14ac:dyDescent="0.2">
      <c r="A283" s="129"/>
      <c r="B283" s="129"/>
      <c r="C283" s="143"/>
      <c r="D283" s="138"/>
      <c r="E283" s="129"/>
      <c r="F283" s="138"/>
      <c r="G283" s="138"/>
      <c r="H283" s="138"/>
      <c r="I283" s="138"/>
      <c r="J283" s="138"/>
      <c r="K283" s="130"/>
      <c r="L283" s="130"/>
      <c r="M283" s="130"/>
      <c r="N283" s="130"/>
      <c r="O283" s="130"/>
      <c r="P283" s="130"/>
      <c r="Q283" s="130"/>
      <c r="R283" s="130"/>
      <c r="S283" s="129"/>
      <c r="T283" s="129"/>
      <c r="U283" s="129"/>
      <c r="V283" s="130"/>
      <c r="W283" s="130"/>
      <c r="X283" s="130"/>
      <c r="Y283" s="130"/>
      <c r="Z283" s="152"/>
      <c r="AA283" s="130"/>
      <c r="AB283" s="130"/>
      <c r="AC283" s="130"/>
    </row>
    <row r="284" spans="1:29" ht="12.75" customHeight="1" x14ac:dyDescent="0.2">
      <c r="A284" s="129"/>
      <c r="B284" s="129"/>
      <c r="C284" s="143"/>
      <c r="D284" s="138"/>
      <c r="E284" s="129"/>
      <c r="F284" s="138"/>
      <c r="G284" s="138"/>
      <c r="H284" s="138"/>
      <c r="I284" s="138"/>
      <c r="J284" s="138"/>
      <c r="K284" s="130"/>
      <c r="L284" s="130"/>
      <c r="M284" s="130"/>
      <c r="N284" s="130"/>
      <c r="O284" s="130"/>
      <c r="P284" s="130"/>
      <c r="Q284" s="130"/>
      <c r="R284" s="130"/>
      <c r="S284" s="129"/>
      <c r="T284" s="129"/>
      <c r="U284" s="129"/>
      <c r="V284" s="130"/>
      <c r="W284" s="130"/>
      <c r="X284" s="130"/>
      <c r="Y284" s="130"/>
      <c r="Z284" s="152"/>
      <c r="AA284" s="130"/>
      <c r="AB284" s="130"/>
      <c r="AC284" s="130"/>
    </row>
    <row r="285" spans="1:29" ht="12.75" customHeight="1" x14ac:dyDescent="0.2">
      <c r="A285" s="129"/>
      <c r="B285" s="129"/>
      <c r="C285" s="143"/>
      <c r="D285" s="138"/>
      <c r="E285" s="129"/>
      <c r="F285" s="138"/>
      <c r="G285" s="138"/>
      <c r="H285" s="138"/>
      <c r="I285" s="138"/>
      <c r="J285" s="138"/>
      <c r="K285" s="130"/>
      <c r="L285" s="130"/>
      <c r="M285" s="130"/>
      <c r="N285" s="130"/>
      <c r="O285" s="130"/>
      <c r="P285" s="130"/>
      <c r="Q285" s="130"/>
      <c r="R285" s="130"/>
      <c r="S285" s="129"/>
      <c r="T285" s="129"/>
      <c r="U285" s="129"/>
      <c r="V285" s="130"/>
      <c r="W285" s="130"/>
      <c r="X285" s="130"/>
      <c r="Y285" s="130"/>
      <c r="Z285" s="152"/>
      <c r="AA285" s="130"/>
      <c r="AB285" s="130"/>
      <c r="AC285" s="130"/>
    </row>
    <row r="286" spans="1:29" ht="12.75" customHeight="1" x14ac:dyDescent="0.2">
      <c r="A286" s="129"/>
      <c r="B286" s="129"/>
      <c r="C286" s="143"/>
      <c r="D286" s="138"/>
      <c r="E286" s="129"/>
      <c r="F286" s="138"/>
      <c r="G286" s="138"/>
      <c r="H286" s="138"/>
      <c r="I286" s="138"/>
      <c r="J286" s="138"/>
      <c r="K286" s="130"/>
      <c r="L286" s="130"/>
      <c r="M286" s="130"/>
      <c r="N286" s="130"/>
      <c r="O286" s="130"/>
      <c r="P286" s="130"/>
      <c r="Q286" s="130"/>
      <c r="R286" s="130"/>
      <c r="S286" s="129"/>
      <c r="T286" s="129"/>
      <c r="U286" s="129"/>
      <c r="V286" s="130"/>
      <c r="W286" s="130"/>
      <c r="X286" s="130"/>
      <c r="Y286" s="130"/>
      <c r="Z286" s="152"/>
      <c r="AA286" s="130"/>
      <c r="AB286" s="130"/>
      <c r="AC286" s="130"/>
    </row>
    <row r="287" spans="1:29" ht="12.75" customHeight="1" x14ac:dyDescent="0.2">
      <c r="A287" s="129"/>
      <c r="B287" s="129"/>
      <c r="C287" s="143"/>
      <c r="D287" s="138"/>
      <c r="E287" s="129"/>
      <c r="F287" s="138"/>
      <c r="G287" s="138"/>
      <c r="H287" s="138"/>
      <c r="I287" s="138"/>
      <c r="J287" s="138"/>
      <c r="K287" s="130"/>
      <c r="L287" s="130"/>
      <c r="M287" s="130"/>
      <c r="N287" s="130"/>
      <c r="O287" s="130"/>
      <c r="P287" s="130"/>
      <c r="Q287" s="130"/>
      <c r="R287" s="130"/>
      <c r="S287" s="129"/>
      <c r="T287" s="129"/>
      <c r="U287" s="129"/>
      <c r="V287" s="130"/>
      <c r="W287" s="130"/>
      <c r="X287" s="130"/>
      <c r="Y287" s="130"/>
      <c r="Z287" s="152"/>
      <c r="AA287" s="130"/>
      <c r="AB287" s="130"/>
      <c r="AC287" s="130"/>
    </row>
    <row r="288" spans="1:29" ht="12.75" customHeight="1" x14ac:dyDescent="0.2">
      <c r="A288" s="129"/>
      <c r="B288" s="129"/>
      <c r="C288" s="143"/>
      <c r="D288" s="138"/>
      <c r="E288" s="129"/>
      <c r="F288" s="138"/>
      <c r="G288" s="138"/>
      <c r="H288" s="138"/>
      <c r="I288" s="138"/>
      <c r="J288" s="138"/>
      <c r="K288" s="130"/>
      <c r="L288" s="130"/>
      <c r="M288" s="130"/>
      <c r="N288" s="130"/>
      <c r="O288" s="130"/>
      <c r="P288" s="130"/>
      <c r="Q288" s="130"/>
      <c r="R288" s="130"/>
      <c r="S288" s="129"/>
      <c r="T288" s="129"/>
      <c r="U288" s="129"/>
      <c r="V288" s="130"/>
      <c r="W288" s="130"/>
      <c r="X288" s="130"/>
      <c r="Y288" s="130"/>
      <c r="Z288" s="152"/>
      <c r="AA288" s="130"/>
      <c r="AB288" s="130"/>
      <c r="AC288" s="130"/>
    </row>
    <row r="289" spans="1:42" ht="12.75" customHeight="1" x14ac:dyDescent="0.2">
      <c r="A289" s="129"/>
      <c r="B289" s="129"/>
      <c r="C289" s="143"/>
      <c r="D289" s="138"/>
      <c r="E289" s="129"/>
      <c r="F289" s="138"/>
      <c r="G289" s="138"/>
      <c r="H289" s="138"/>
      <c r="I289" s="138"/>
      <c r="J289" s="138"/>
      <c r="K289" s="130"/>
      <c r="L289" s="130"/>
      <c r="M289" s="130"/>
      <c r="N289" s="130"/>
      <c r="O289" s="130"/>
      <c r="P289" s="130"/>
      <c r="Q289" s="130"/>
      <c r="R289" s="130"/>
      <c r="S289" s="129"/>
      <c r="T289" s="129"/>
      <c r="U289" s="129"/>
      <c r="V289" s="130"/>
      <c r="W289" s="130"/>
      <c r="X289" s="130"/>
      <c r="Y289" s="130"/>
      <c r="Z289" s="152"/>
      <c r="AA289" s="130"/>
      <c r="AB289" s="130"/>
      <c r="AC289" s="130"/>
    </row>
    <row r="290" spans="1:42" ht="12.75" customHeight="1" x14ac:dyDescent="0.2">
      <c r="A290" s="129"/>
      <c r="B290" s="129"/>
      <c r="C290" s="143"/>
      <c r="D290" s="138"/>
      <c r="E290" s="129"/>
      <c r="F290" s="138"/>
      <c r="G290" s="138"/>
      <c r="H290" s="138"/>
      <c r="I290" s="138"/>
      <c r="J290" s="138"/>
      <c r="K290" s="130"/>
      <c r="L290" s="130"/>
      <c r="M290" s="130"/>
      <c r="N290" s="130"/>
      <c r="O290" s="130"/>
      <c r="P290" s="130"/>
      <c r="Q290" s="130"/>
      <c r="R290" s="130"/>
      <c r="S290" s="129"/>
      <c r="T290" s="129"/>
      <c r="U290" s="129"/>
      <c r="V290" s="130"/>
      <c r="W290" s="130"/>
      <c r="X290" s="130"/>
      <c r="Y290" s="130"/>
      <c r="Z290" s="152"/>
      <c r="AA290" s="130"/>
      <c r="AB290" s="130"/>
      <c r="AC290" s="130"/>
    </row>
    <row r="291" spans="1:42" ht="12.75" customHeight="1" x14ac:dyDescent="0.2">
      <c r="A291" s="129"/>
      <c r="B291" s="129"/>
      <c r="C291" s="143"/>
      <c r="D291" s="138"/>
      <c r="E291" s="129"/>
      <c r="F291" s="138"/>
      <c r="G291" s="138"/>
      <c r="H291" s="138"/>
      <c r="I291" s="138"/>
      <c r="J291" s="138"/>
      <c r="K291" s="130"/>
      <c r="L291" s="130"/>
      <c r="M291" s="130"/>
      <c r="N291" s="130"/>
      <c r="O291" s="130"/>
      <c r="P291" s="130"/>
      <c r="Q291" s="130"/>
      <c r="R291" s="130"/>
      <c r="S291" s="129"/>
      <c r="T291" s="129"/>
      <c r="U291" s="129"/>
      <c r="V291" s="130"/>
      <c r="W291" s="130"/>
      <c r="X291" s="130"/>
      <c r="Y291" s="130"/>
      <c r="Z291" s="152"/>
      <c r="AA291" s="130"/>
      <c r="AB291" s="130"/>
      <c r="AC291" s="130"/>
    </row>
    <row r="292" spans="1:42" ht="12.75" customHeight="1" x14ac:dyDescent="0.2">
      <c r="A292" s="129"/>
      <c r="B292" s="129"/>
      <c r="C292" s="143"/>
      <c r="D292" s="138"/>
      <c r="E292" s="129"/>
      <c r="F292" s="138"/>
      <c r="G292" s="138"/>
      <c r="H292" s="138"/>
      <c r="I292" s="138"/>
      <c r="J292" s="138"/>
      <c r="K292" s="130"/>
      <c r="L292" s="130"/>
      <c r="M292" s="130"/>
      <c r="N292" s="130"/>
      <c r="O292" s="130"/>
      <c r="P292" s="130"/>
      <c r="Q292" s="130"/>
      <c r="R292" s="130"/>
      <c r="S292" s="129"/>
      <c r="T292" s="129"/>
      <c r="U292" s="129"/>
      <c r="V292" s="130"/>
      <c r="W292" s="130"/>
      <c r="X292" s="130"/>
      <c r="Y292" s="130"/>
      <c r="Z292" s="152"/>
      <c r="AA292" s="130"/>
      <c r="AB292" s="130"/>
      <c r="AC292" s="130"/>
    </row>
    <row r="293" spans="1:42" ht="12.75" customHeight="1" x14ac:dyDescent="0.2">
      <c r="A293" s="129"/>
      <c r="B293" s="129"/>
      <c r="C293" s="143"/>
      <c r="D293" s="138"/>
      <c r="E293" s="129"/>
      <c r="F293" s="138"/>
      <c r="G293" s="138"/>
      <c r="H293" s="138"/>
      <c r="I293" s="138"/>
      <c r="J293" s="138"/>
      <c r="K293" s="130"/>
      <c r="L293" s="130"/>
      <c r="M293" s="130"/>
      <c r="N293" s="130"/>
      <c r="O293" s="130"/>
      <c r="P293" s="130"/>
      <c r="Q293" s="130"/>
      <c r="R293" s="130"/>
      <c r="S293" s="129"/>
      <c r="T293" s="129"/>
      <c r="U293" s="129"/>
      <c r="V293" s="130"/>
      <c r="W293" s="130"/>
      <c r="X293" s="130"/>
      <c r="Y293" s="130"/>
      <c r="Z293" s="152"/>
      <c r="AA293" s="130"/>
      <c r="AB293" s="130"/>
      <c r="AC293" s="130"/>
    </row>
    <row r="294" spans="1:42" ht="12.75" customHeight="1" x14ac:dyDescent="0.2">
      <c r="A294" s="129"/>
      <c r="B294" s="129"/>
      <c r="C294" s="143"/>
      <c r="D294" s="138"/>
      <c r="E294" s="129"/>
      <c r="F294" s="138"/>
      <c r="G294" s="138"/>
      <c r="H294" s="138"/>
      <c r="I294" s="138"/>
      <c r="J294" s="138"/>
      <c r="K294" s="130"/>
      <c r="L294" s="130"/>
      <c r="M294" s="130"/>
      <c r="N294" s="130"/>
      <c r="O294" s="130"/>
      <c r="P294" s="130"/>
      <c r="Q294" s="130"/>
      <c r="R294" s="130"/>
      <c r="S294" s="129"/>
      <c r="T294" s="129"/>
      <c r="U294" s="129"/>
      <c r="V294" s="130"/>
      <c r="W294" s="130"/>
      <c r="X294" s="130"/>
      <c r="Y294" s="130"/>
      <c r="Z294" s="152"/>
      <c r="AA294" s="130"/>
      <c r="AB294" s="130"/>
      <c r="AC294" s="130"/>
    </row>
    <row r="295" spans="1:42" ht="12.75" customHeight="1" x14ac:dyDescent="0.2">
      <c r="A295" s="129"/>
      <c r="B295" s="129"/>
      <c r="C295" s="143"/>
      <c r="D295" s="138"/>
      <c r="E295" s="129"/>
      <c r="F295" s="138"/>
      <c r="G295" s="138"/>
      <c r="H295" s="138"/>
      <c r="I295" s="138"/>
      <c r="J295" s="138"/>
      <c r="K295" s="130"/>
      <c r="L295" s="130"/>
      <c r="M295" s="130"/>
      <c r="N295" s="130"/>
      <c r="O295" s="130"/>
      <c r="P295" s="130"/>
      <c r="Q295" s="130"/>
      <c r="R295" s="130"/>
      <c r="S295" s="129"/>
      <c r="T295" s="129"/>
      <c r="U295" s="129"/>
      <c r="V295" s="130"/>
      <c r="W295" s="130"/>
      <c r="X295" s="130"/>
      <c r="Y295" s="130"/>
      <c r="Z295" s="152"/>
      <c r="AA295" s="130"/>
      <c r="AB295" s="130"/>
      <c r="AC295" s="130"/>
    </row>
    <row r="296" spans="1:42" ht="12.75" customHeight="1" x14ac:dyDescent="0.2">
      <c r="A296" s="129"/>
      <c r="B296" s="129"/>
      <c r="C296" s="143"/>
      <c r="D296" s="138"/>
      <c r="E296" s="129"/>
      <c r="F296" s="138"/>
      <c r="G296" s="138"/>
      <c r="H296" s="138"/>
      <c r="I296" s="138"/>
      <c r="J296" s="138"/>
      <c r="K296" s="130"/>
      <c r="L296" s="130"/>
      <c r="M296" s="130"/>
      <c r="N296" s="130"/>
      <c r="O296" s="130"/>
      <c r="P296" s="130"/>
      <c r="Q296" s="130"/>
      <c r="R296" s="130"/>
      <c r="S296" s="129"/>
      <c r="T296" s="129"/>
      <c r="U296" s="129"/>
      <c r="V296" s="130"/>
      <c r="W296" s="130"/>
      <c r="X296" s="130"/>
      <c r="Y296" s="130"/>
      <c r="Z296" s="152"/>
      <c r="AA296" s="130"/>
      <c r="AB296" s="130"/>
      <c r="AC296" s="130"/>
    </row>
    <row r="297" spans="1:42" ht="12.75" customHeight="1" x14ac:dyDescent="0.2">
      <c r="A297" s="129"/>
      <c r="B297" s="129"/>
      <c r="C297" s="143"/>
      <c r="D297" s="138"/>
      <c r="E297" s="129"/>
      <c r="F297" s="138"/>
      <c r="G297" s="138"/>
      <c r="H297" s="138"/>
      <c r="I297" s="138"/>
      <c r="J297" s="138"/>
      <c r="K297" s="130"/>
      <c r="L297" s="130"/>
      <c r="M297" s="130"/>
      <c r="N297" s="130"/>
      <c r="O297" s="130"/>
      <c r="P297" s="130"/>
      <c r="Q297" s="130"/>
      <c r="R297" s="130"/>
      <c r="S297" s="129"/>
      <c r="T297" s="129"/>
      <c r="U297" s="129"/>
      <c r="V297" s="130"/>
      <c r="W297" s="130"/>
      <c r="X297" s="130"/>
      <c r="Y297" s="130"/>
      <c r="Z297" s="152"/>
      <c r="AA297" s="130"/>
      <c r="AB297" s="130"/>
      <c r="AC297" s="130"/>
    </row>
    <row r="298" spans="1:42" ht="12.75" customHeight="1" x14ac:dyDescent="0.2">
      <c r="A298" s="129"/>
      <c r="B298" s="129"/>
      <c r="C298" s="143"/>
      <c r="D298" s="138"/>
      <c r="E298" s="129"/>
      <c r="F298" s="138"/>
      <c r="G298" s="138"/>
      <c r="H298" s="138"/>
      <c r="I298" s="138"/>
      <c r="J298" s="138"/>
      <c r="K298" s="130"/>
      <c r="L298" s="130"/>
      <c r="M298" s="130"/>
      <c r="N298" s="130"/>
      <c r="O298" s="130"/>
      <c r="P298" s="130"/>
      <c r="Q298" s="130"/>
      <c r="R298" s="130"/>
      <c r="S298" s="129"/>
      <c r="T298" s="129"/>
      <c r="U298" s="129"/>
      <c r="V298" s="130"/>
      <c r="W298" s="130"/>
      <c r="X298" s="130"/>
      <c r="Y298" s="130"/>
      <c r="Z298" s="152"/>
      <c r="AA298" s="130"/>
      <c r="AB298" s="130"/>
      <c r="AC298" s="130"/>
    </row>
    <row r="299" spans="1:42" ht="12.75" customHeight="1" x14ac:dyDescent="0.2">
      <c r="A299" s="129"/>
      <c r="B299" s="129"/>
      <c r="C299" s="143"/>
      <c r="D299" s="138"/>
      <c r="E299" s="129"/>
      <c r="F299" s="138"/>
      <c r="G299" s="138"/>
      <c r="H299" s="138"/>
      <c r="I299" s="138"/>
      <c r="J299" s="138"/>
      <c r="K299" s="130"/>
      <c r="L299" s="130"/>
      <c r="M299" s="130"/>
      <c r="N299" s="130"/>
      <c r="O299" s="130"/>
      <c r="P299" s="130"/>
      <c r="Q299" s="130"/>
      <c r="R299" s="130"/>
      <c r="S299" s="129"/>
      <c r="T299" s="129"/>
      <c r="U299" s="129"/>
      <c r="V299" s="130"/>
      <c r="W299" s="130"/>
      <c r="X299" s="130"/>
      <c r="Y299" s="130"/>
      <c r="Z299" s="152"/>
      <c r="AA299" s="130"/>
      <c r="AB299" s="130"/>
      <c r="AC299" s="130"/>
    </row>
    <row r="300" spans="1:42" s="257" customFormat="1" ht="12.75" customHeight="1" x14ac:dyDescent="0.2">
      <c r="A300" s="255"/>
      <c r="B300" s="255"/>
      <c r="C300" s="143"/>
      <c r="D300" s="138"/>
      <c r="E300" s="255"/>
      <c r="F300" s="138"/>
      <c r="G300" s="138"/>
      <c r="H300" s="138"/>
      <c r="I300" s="138"/>
      <c r="J300" s="138"/>
      <c r="K300" s="256"/>
      <c r="L300" s="256"/>
      <c r="M300" s="256"/>
      <c r="N300" s="256"/>
      <c r="O300" s="256"/>
      <c r="P300" s="256"/>
      <c r="Q300" s="256"/>
      <c r="R300" s="256"/>
      <c r="S300" s="255"/>
      <c r="T300" s="255"/>
      <c r="U300" s="255"/>
      <c r="V300" s="256"/>
      <c r="W300" s="256"/>
      <c r="X300" s="256"/>
      <c r="Y300" s="256"/>
      <c r="Z300" s="152"/>
      <c r="AA300" s="256"/>
      <c r="AB300" s="256"/>
      <c r="AC300" s="256"/>
    </row>
    <row r="301" spans="1:42" s="262" customFormat="1" ht="12.75" hidden="1" customHeight="1" x14ac:dyDescent="0.2">
      <c r="A301" s="135"/>
      <c r="B301" s="135"/>
      <c r="C301" s="258"/>
      <c r="D301" s="259"/>
      <c r="E301" s="135"/>
      <c r="F301" s="259"/>
      <c r="G301" s="259"/>
      <c r="H301" s="259"/>
      <c r="I301" s="259"/>
      <c r="J301" s="259"/>
      <c r="K301" s="260"/>
      <c r="L301" s="260"/>
      <c r="M301" s="260"/>
      <c r="N301" s="260"/>
      <c r="O301" s="260"/>
      <c r="P301" s="260"/>
      <c r="Q301" s="260"/>
      <c r="R301" s="260"/>
      <c r="S301" s="135"/>
      <c r="T301" s="135"/>
      <c r="U301" s="135"/>
      <c r="V301" s="260"/>
      <c r="W301" s="260"/>
      <c r="X301" s="260"/>
      <c r="Y301" s="260"/>
      <c r="Z301" s="261"/>
      <c r="AA301" s="260"/>
      <c r="AB301" s="260"/>
      <c r="AC301" s="260"/>
    </row>
    <row r="302" spans="1:42" s="264" customFormat="1" ht="12.75" hidden="1" customHeight="1" x14ac:dyDescent="0.2">
      <c r="A302" s="263"/>
      <c r="G302" s="265"/>
      <c r="H302" s="265"/>
      <c r="I302" s="265"/>
      <c r="J302" s="265"/>
      <c r="K302" s="265"/>
      <c r="L302" s="265"/>
      <c r="M302" s="265"/>
      <c r="N302" s="265"/>
      <c r="O302" s="263"/>
      <c r="P302" s="263"/>
      <c r="Q302" s="263"/>
      <c r="R302" s="263"/>
      <c r="S302" s="266"/>
      <c r="T302" s="266"/>
      <c r="U302" s="266"/>
      <c r="AA302" s="266"/>
      <c r="AC302" s="266"/>
      <c r="AD302" s="266"/>
      <c r="AE302" s="266"/>
      <c r="AF302" s="266"/>
      <c r="AG302" s="266"/>
      <c r="AH302" s="266"/>
      <c r="AI302" s="266"/>
      <c r="AJ302" s="266"/>
      <c r="AK302" s="266"/>
      <c r="AL302" s="266"/>
      <c r="AM302" s="266"/>
      <c r="AN302" s="266"/>
      <c r="AO302" s="266"/>
      <c r="AP302" s="266"/>
    </row>
    <row r="303" spans="1:42" s="267" customFormat="1" ht="12.75" hidden="1" customHeight="1" x14ac:dyDescent="0.2">
      <c r="B303" s="268"/>
      <c r="C303" s="269" t="s">
        <v>51</v>
      </c>
      <c r="D303" s="269"/>
      <c r="E303" s="269" t="s">
        <v>0</v>
      </c>
      <c r="F303" s="269"/>
      <c r="G303" s="270">
        <f t="shared" ref="G303" si="0">$C$12</f>
        <v>2500</v>
      </c>
      <c r="H303" s="270"/>
      <c r="I303" s="270"/>
      <c r="J303" s="271"/>
      <c r="K303" s="272" t="s">
        <v>162</v>
      </c>
      <c r="L303" s="272"/>
      <c r="M303" s="272"/>
      <c r="N303" s="272"/>
      <c r="O303" s="273" t="s">
        <v>96</v>
      </c>
      <c r="P303" s="273"/>
      <c r="Q303" s="274">
        <f>$M$323</f>
        <v>0.27950000000000003</v>
      </c>
      <c r="R303" s="273" t="s">
        <v>97</v>
      </c>
      <c r="S303" s="273"/>
      <c r="T303" s="274">
        <f>$M$324</f>
        <v>0.27950000000000003</v>
      </c>
      <c r="U303" s="275">
        <v>2</v>
      </c>
      <c r="W303" s="276" t="s">
        <v>155</v>
      </c>
      <c r="X303" s="277" t="b">
        <f>IF(E333=1,X308)</f>
        <v>0</v>
      </c>
      <c r="Y303" s="276" t="s">
        <v>90</v>
      </c>
      <c r="Z303" s="277" t="b">
        <f>IF(E333=1,Y308,IF(E333=2,Z308))</f>
        <v>0</v>
      </c>
      <c r="AC303" s="278"/>
      <c r="AD303" s="278"/>
      <c r="AE303" s="278"/>
      <c r="AF303" s="278"/>
      <c r="AG303" s="278"/>
      <c r="AH303" s="278"/>
      <c r="AI303" s="278"/>
      <c r="AJ303" s="278"/>
      <c r="AK303" s="278"/>
      <c r="AL303" s="278"/>
      <c r="AM303" s="278"/>
      <c r="AN303" s="278"/>
      <c r="AO303" s="278"/>
      <c r="AP303" s="278"/>
    </row>
    <row r="304" spans="1:42" s="267" customFormat="1" ht="12.75" hidden="1" customHeight="1" x14ac:dyDescent="0.2">
      <c r="B304" s="279"/>
      <c r="C304" s="280" t="s">
        <v>2</v>
      </c>
      <c r="D304" s="281">
        <f>$N$316</f>
        <v>36</v>
      </c>
      <c r="E304" s="282" t="s">
        <v>68</v>
      </c>
      <c r="F304" s="281">
        <f>$L$336</f>
        <v>7</v>
      </c>
      <c r="G304" s="270"/>
      <c r="H304" s="270"/>
      <c r="I304" s="270"/>
      <c r="J304" s="271"/>
      <c r="K304" s="283" t="s">
        <v>2</v>
      </c>
      <c r="L304" s="284" t="s">
        <v>144</v>
      </c>
      <c r="M304" s="284" t="s">
        <v>85</v>
      </c>
      <c r="N304" s="284" t="s">
        <v>9</v>
      </c>
      <c r="O304" s="284" t="s">
        <v>102</v>
      </c>
      <c r="P304" s="284" t="s">
        <v>143</v>
      </c>
      <c r="Q304" s="284" t="s">
        <v>8</v>
      </c>
      <c r="R304" s="284" t="s">
        <v>166</v>
      </c>
      <c r="S304" s="284" t="s">
        <v>167</v>
      </c>
      <c r="T304" s="284" t="s">
        <v>89</v>
      </c>
      <c r="U304" s="284" t="s">
        <v>170</v>
      </c>
      <c r="X304" s="283" t="s">
        <v>46</v>
      </c>
      <c r="Y304" s="283" t="s">
        <v>46</v>
      </c>
      <c r="Z304" s="283" t="s">
        <v>47</v>
      </c>
      <c r="AA304" s="277"/>
      <c r="AC304" s="285"/>
      <c r="AD304" s="285"/>
      <c r="AE304" s="285"/>
      <c r="AF304" s="285"/>
      <c r="AG304" s="285"/>
      <c r="AH304" s="285"/>
      <c r="AI304" s="285"/>
      <c r="AJ304" s="285"/>
      <c r="AK304" s="285"/>
      <c r="AL304" s="285"/>
      <c r="AM304" s="285"/>
      <c r="AN304" s="285"/>
      <c r="AO304" s="285"/>
      <c r="AP304" s="285"/>
    </row>
    <row r="305" spans="2:42" s="267" customFormat="1" ht="12.75" hidden="1" customHeight="1" x14ac:dyDescent="0.2">
      <c r="B305" s="286"/>
      <c r="C305" s="287" t="s">
        <v>36</v>
      </c>
      <c r="D305" s="286">
        <f>$M$325</f>
        <v>0.27950000000000003</v>
      </c>
      <c r="E305" s="287" t="s">
        <v>174</v>
      </c>
      <c r="F305" s="288">
        <f>$L$322</f>
        <v>0.1132</v>
      </c>
      <c r="G305" s="270"/>
      <c r="H305" s="270"/>
      <c r="I305" s="270"/>
      <c r="J305" s="271"/>
      <c r="K305" s="289">
        <v>6</v>
      </c>
      <c r="L305" s="290">
        <v>0.49399999999999999</v>
      </c>
      <c r="M305" s="290">
        <v>0.89349999999999996</v>
      </c>
      <c r="N305" s="291">
        <v>1.206</v>
      </c>
      <c r="O305" s="291">
        <v>1.4370000000000001</v>
      </c>
      <c r="P305" s="291"/>
      <c r="Q305" s="291"/>
      <c r="T305" s="290"/>
      <c r="U305" s="290"/>
      <c r="W305" s="292" t="s">
        <v>76</v>
      </c>
      <c r="X305" s="277">
        <v>0</v>
      </c>
      <c r="Y305" s="277">
        <v>-1.4999999999999999E-2</v>
      </c>
      <c r="Z305" s="277">
        <v>0</v>
      </c>
      <c r="AA305" s="277"/>
      <c r="AB305" s="293"/>
      <c r="AD305" s="283"/>
      <c r="AE305" s="283"/>
      <c r="AF305" s="283"/>
      <c r="AG305" s="294"/>
      <c r="AH305" s="268"/>
      <c r="AI305" s="268"/>
      <c r="AK305" s="283"/>
      <c r="AL305" s="283"/>
      <c r="AM305" s="283"/>
      <c r="AN305" s="294"/>
      <c r="AO305" s="268"/>
      <c r="AP305" s="268"/>
    </row>
    <row r="306" spans="2:42" s="267" customFormat="1" ht="12.75" hidden="1" customHeight="1" x14ac:dyDescent="0.2">
      <c r="B306" s="268"/>
      <c r="C306" s="273" t="s">
        <v>10</v>
      </c>
      <c r="D306" s="273"/>
      <c r="E306" s="273" t="s">
        <v>10</v>
      </c>
      <c r="F306" s="273"/>
      <c r="G306" s="271"/>
      <c r="H306" s="271"/>
      <c r="I306" s="271"/>
      <c r="J306" s="271"/>
      <c r="K306" s="289">
        <v>12</v>
      </c>
      <c r="L306" s="290"/>
      <c r="M306" s="290">
        <v>0.26219999999999999</v>
      </c>
      <c r="N306" s="290">
        <v>0.37119999999999997</v>
      </c>
      <c r="O306" s="290">
        <v>0.46700000000000003</v>
      </c>
      <c r="P306" s="290"/>
      <c r="Q306" s="290"/>
      <c r="T306" s="290"/>
      <c r="U306" s="290"/>
      <c r="W306" s="292" t="s">
        <v>77</v>
      </c>
      <c r="X306" s="277">
        <v>0</v>
      </c>
      <c r="Y306" s="277">
        <v>-1.4999999999999999E-2</v>
      </c>
      <c r="Z306" s="277">
        <v>0</v>
      </c>
      <c r="AA306" s="277"/>
      <c r="AB306" s="293"/>
      <c r="AD306" s="295"/>
      <c r="AE306" s="283"/>
      <c r="AF306" s="283"/>
      <c r="AG306" s="294"/>
      <c r="AH306" s="268"/>
      <c r="AK306" s="295"/>
      <c r="AL306" s="283"/>
      <c r="AM306" s="283"/>
      <c r="AN306" s="294"/>
      <c r="AO306" s="268"/>
      <c r="AP306" s="268"/>
    </row>
    <row r="307" spans="2:42" s="267" customFormat="1" ht="12.75" hidden="1" customHeight="1" x14ac:dyDescent="0.2">
      <c r="B307" s="296"/>
      <c r="C307" s="297" t="s">
        <v>12</v>
      </c>
      <c r="D307" s="298">
        <f>$G$303</f>
        <v>2500</v>
      </c>
      <c r="E307" s="297" t="s">
        <v>12</v>
      </c>
      <c r="F307" s="299">
        <f>$G$303</f>
        <v>2500</v>
      </c>
      <c r="G307" s="271"/>
      <c r="H307" s="271"/>
      <c r="I307" s="271"/>
      <c r="J307" s="271"/>
      <c r="K307" s="289">
        <v>18</v>
      </c>
      <c r="L307" s="290"/>
      <c r="M307" s="290">
        <v>0.12659999999999999</v>
      </c>
      <c r="N307" s="290">
        <v>0.18179999999999999</v>
      </c>
      <c r="O307" s="290">
        <v>0.2321</v>
      </c>
      <c r="P307" s="290"/>
      <c r="Q307" s="290"/>
      <c r="T307" s="290"/>
      <c r="U307" s="290"/>
      <c r="W307" s="292" t="s">
        <v>150</v>
      </c>
      <c r="X307" s="277">
        <v>0</v>
      </c>
      <c r="Y307" s="277">
        <v>-1.4999999999999999E-2</v>
      </c>
      <c r="Z307" s="277">
        <v>0</v>
      </c>
      <c r="AA307" s="300"/>
      <c r="AB307" s="293"/>
      <c r="AD307" s="283"/>
      <c r="AE307" s="283"/>
      <c r="AF307" s="283"/>
      <c r="AG307" s="294"/>
      <c r="AH307" s="268"/>
      <c r="AK307" s="283"/>
      <c r="AL307" s="283"/>
      <c r="AM307" s="283"/>
      <c r="AN307" s="294"/>
      <c r="AO307" s="268"/>
      <c r="AP307" s="268"/>
    </row>
    <row r="308" spans="2:42" s="267" customFormat="1" ht="13.5" hidden="1" customHeight="1" x14ac:dyDescent="0.2">
      <c r="B308" s="297"/>
      <c r="C308" s="297" t="s">
        <v>14</v>
      </c>
      <c r="D308" s="301">
        <v>0</v>
      </c>
      <c r="E308" s="297" t="s">
        <v>14</v>
      </c>
      <c r="F308" s="299">
        <v>0</v>
      </c>
      <c r="G308" s="271"/>
      <c r="H308" s="271"/>
      <c r="I308" s="271"/>
      <c r="J308" s="271"/>
      <c r="K308" s="289">
        <v>24</v>
      </c>
      <c r="L308" s="290"/>
      <c r="M308" s="290">
        <v>7.5600000000000001E-2</v>
      </c>
      <c r="N308" s="290">
        <v>0.1094</v>
      </c>
      <c r="O308" s="290">
        <v>0.14080000000000001</v>
      </c>
      <c r="P308" s="290">
        <v>0.16980000000000001</v>
      </c>
      <c r="Q308" s="290">
        <v>0.19670000000000001</v>
      </c>
      <c r="T308" s="290"/>
      <c r="U308" s="290"/>
      <c r="W308" s="277"/>
      <c r="X308" s="277">
        <f>IF(N345&gt;6000,X307, IF(N345&gt;3000,X306, IF(N345&gt;499,X305, "Min $500")))</f>
        <v>0</v>
      </c>
      <c r="Y308" s="277">
        <f>IF(N345&gt;6000,Y307, IF(N345&gt;3000,Y306, IF(N345&gt;499,Y305, "Min $500")))</f>
        <v>-1.4999999999999999E-2</v>
      </c>
      <c r="Z308" s="277">
        <f>IF(N345&gt;6000,Z307, IF(N345&gt;3000,Z306, IF(N345&gt;499,Z305, "Min $500")))</f>
        <v>0</v>
      </c>
      <c r="AA308" s="300"/>
      <c r="AB308" s="293"/>
      <c r="AC308" s="285"/>
      <c r="AD308" s="285"/>
      <c r="AE308" s="285"/>
      <c r="AF308" s="285"/>
      <c r="AG308" s="285"/>
      <c r="AH308" s="285"/>
      <c r="AI308" s="285"/>
      <c r="AJ308" s="285"/>
      <c r="AK308" s="285"/>
      <c r="AL308" s="285"/>
      <c r="AM308" s="285"/>
      <c r="AN308" s="285"/>
      <c r="AO308" s="285"/>
      <c r="AP308" s="285"/>
    </row>
    <row r="309" spans="2:42" s="267" customFormat="1" ht="13.5" hidden="1" customHeight="1" x14ac:dyDescent="0.2">
      <c r="B309" s="302"/>
      <c r="C309" s="297" t="s">
        <v>17</v>
      </c>
      <c r="D309" s="298">
        <v>0</v>
      </c>
      <c r="E309" s="297" t="s">
        <v>17</v>
      </c>
      <c r="F309" s="299">
        <v>0</v>
      </c>
      <c r="G309" s="303"/>
      <c r="H309" s="271"/>
      <c r="I309" s="271"/>
      <c r="J309" s="271"/>
      <c r="K309" s="289">
        <v>30</v>
      </c>
      <c r="L309" s="290"/>
      <c r="M309" s="290"/>
      <c r="N309" s="290">
        <v>7.4099999999999999E-2</v>
      </c>
      <c r="O309" s="290">
        <v>9.5699999999999993E-2</v>
      </c>
      <c r="P309" s="290">
        <v>0.1159</v>
      </c>
      <c r="Q309" s="290">
        <v>0.1348</v>
      </c>
      <c r="R309" s="290">
        <v>0.1532</v>
      </c>
      <c r="S309" s="290">
        <v>0.16980000000000001</v>
      </c>
      <c r="T309" s="290"/>
      <c r="U309" s="290"/>
      <c r="AA309" s="300"/>
      <c r="AB309" s="304"/>
      <c r="AD309" s="283"/>
      <c r="AE309" s="283"/>
      <c r="AF309" s="283"/>
      <c r="AG309" s="294"/>
      <c r="AH309" s="268"/>
      <c r="AK309" s="283"/>
      <c r="AL309" s="268"/>
      <c r="AM309" s="268"/>
      <c r="AN309" s="290"/>
      <c r="AO309" s="283"/>
    </row>
    <row r="310" spans="2:42" s="267" customFormat="1" ht="13.5" hidden="1" customHeight="1" x14ac:dyDescent="0.2">
      <c r="B310" s="302"/>
      <c r="C310" s="297" t="s">
        <v>4</v>
      </c>
      <c r="D310" s="305">
        <f>$O$325</f>
        <v>55</v>
      </c>
      <c r="E310" s="297" t="s">
        <v>4</v>
      </c>
      <c r="F310" s="306">
        <f>$D$310</f>
        <v>55</v>
      </c>
      <c r="H310" s="271"/>
      <c r="I310" s="271"/>
      <c r="J310" s="271"/>
      <c r="K310" s="289">
        <v>36</v>
      </c>
      <c r="L310" s="290"/>
      <c r="M310" s="290"/>
      <c r="N310" s="290"/>
      <c r="O310" s="290">
        <v>7.0099999999999996E-2</v>
      </c>
      <c r="P310" s="290">
        <v>8.5099999999999995E-2</v>
      </c>
      <c r="Q310" s="290">
        <v>9.9299999999999999E-2</v>
      </c>
      <c r="R310" s="286">
        <v>0.1132</v>
      </c>
      <c r="S310" s="286">
        <v>0.1258</v>
      </c>
      <c r="T310" s="290">
        <v>0.13769999999999999</v>
      </c>
      <c r="U310" s="290"/>
      <c r="W310" s="307" t="s">
        <v>111</v>
      </c>
      <c r="X310" s="307"/>
      <c r="Y310" s="307"/>
      <c r="Z310" s="286" t="b">
        <f>IF(E333=1,W315,IF(E333=2,X315,IF(E333=3,Y315,IF(E333=4,Z315))))</f>
        <v>0</v>
      </c>
      <c r="AA310" s="300"/>
      <c r="AB310" s="293"/>
      <c r="AD310" s="295"/>
      <c r="AE310" s="283"/>
      <c r="AF310" s="283"/>
      <c r="AG310" s="294"/>
      <c r="AH310" s="268"/>
      <c r="AK310" s="295"/>
      <c r="AL310" s="283"/>
      <c r="AM310" s="283"/>
      <c r="AN310" s="294"/>
      <c r="AO310" s="268"/>
    </row>
    <row r="311" spans="2:42" s="267" customFormat="1" ht="13.5" hidden="1" customHeight="1" x14ac:dyDescent="0.2">
      <c r="B311" s="308" t="s">
        <v>20</v>
      </c>
      <c r="C311" s="309" t="s">
        <v>19</v>
      </c>
      <c r="D311" s="298">
        <f>D307+D309+D310</f>
        <v>2555</v>
      </c>
      <c r="E311" s="309" t="s">
        <v>19</v>
      </c>
      <c r="F311" s="299">
        <f>F307+F309+F310</f>
        <v>2555</v>
      </c>
      <c r="H311" s="271"/>
      <c r="I311" s="271"/>
      <c r="J311" s="271"/>
      <c r="K311" s="289">
        <v>42</v>
      </c>
      <c r="L311" s="290"/>
      <c r="M311" s="290"/>
      <c r="N311" s="290"/>
      <c r="O311" s="290"/>
      <c r="P311" s="290"/>
      <c r="Q311" s="290">
        <v>7.6799999999999993E-2</v>
      </c>
      <c r="R311" s="286">
        <v>8.6999999999999994E-2</v>
      </c>
      <c r="S311" s="286">
        <v>9.7000000000000003E-2</v>
      </c>
      <c r="T311" s="290">
        <v>0.1066</v>
      </c>
      <c r="U311" s="290">
        <v>0.11609999999999999</v>
      </c>
      <c r="W311" s="310" t="s">
        <v>46</v>
      </c>
      <c r="X311" s="310" t="s">
        <v>47</v>
      </c>
      <c r="Y311" s="310" t="s">
        <v>48</v>
      </c>
      <c r="Z311" s="310" t="s">
        <v>49</v>
      </c>
      <c r="AA311" s="300"/>
      <c r="AB311" s="293"/>
      <c r="AD311" s="283"/>
      <c r="AE311" s="283"/>
      <c r="AF311" s="283"/>
      <c r="AG311" s="294"/>
      <c r="AH311" s="268"/>
      <c r="AK311" s="283"/>
      <c r="AL311" s="283"/>
      <c r="AM311" s="283"/>
      <c r="AN311" s="286"/>
      <c r="AO311" s="268"/>
    </row>
    <row r="312" spans="2:42" s="267" customFormat="1" ht="13.5" hidden="1" customHeight="1" x14ac:dyDescent="0.2">
      <c r="B312" s="308" t="s">
        <v>22</v>
      </c>
      <c r="C312" s="311" t="s">
        <v>21</v>
      </c>
      <c r="D312" s="312">
        <f>$G$12</f>
        <v>300</v>
      </c>
      <c r="E312" s="311" t="s">
        <v>21</v>
      </c>
      <c r="F312" s="306">
        <f>$G$12</f>
        <v>300</v>
      </c>
      <c r="G312" s="303" t="s">
        <v>98</v>
      </c>
      <c r="H312" s="271"/>
      <c r="I312" s="271"/>
      <c r="J312" s="271"/>
      <c r="K312" s="289">
        <v>48</v>
      </c>
      <c r="L312" s="290"/>
      <c r="M312" s="290"/>
      <c r="N312" s="290"/>
      <c r="O312" s="283"/>
      <c r="P312" s="290"/>
      <c r="Q312" s="290">
        <v>6.1699999999999998E-2</v>
      </c>
      <c r="R312" s="286">
        <v>6.9900000000000004E-2</v>
      </c>
      <c r="S312" s="286">
        <v>7.8E-2</v>
      </c>
      <c r="T312" s="290">
        <v>8.5999999999999993E-2</v>
      </c>
      <c r="U312" s="290">
        <v>9.3700000000000006E-2</v>
      </c>
      <c r="W312" s="286">
        <v>-2.5000000000000001E-2</v>
      </c>
      <c r="X312" s="286">
        <v>-1.4999999999999999E-2</v>
      </c>
      <c r="Y312" s="286">
        <v>0</v>
      </c>
      <c r="Z312" s="286">
        <v>1.4999999999999999E-2</v>
      </c>
      <c r="AA312" s="300"/>
      <c r="AB312" s="293"/>
      <c r="AC312" s="285"/>
      <c r="AD312" s="285"/>
      <c r="AE312" s="285"/>
      <c r="AF312" s="285"/>
      <c r="AG312" s="285"/>
      <c r="AH312" s="285"/>
      <c r="AI312" s="285"/>
      <c r="AJ312" s="285"/>
      <c r="AK312" s="285"/>
      <c r="AL312" s="285"/>
      <c r="AM312" s="285"/>
      <c r="AN312" s="285"/>
      <c r="AO312" s="285"/>
      <c r="AP312" s="285"/>
    </row>
    <row r="313" spans="2:42" s="267" customFormat="1" ht="13.5" hidden="1" customHeight="1" x14ac:dyDescent="0.2">
      <c r="B313" s="313" t="s">
        <v>24</v>
      </c>
      <c r="C313" s="309" t="s">
        <v>23</v>
      </c>
      <c r="D313" s="314">
        <f>D311-D312</f>
        <v>2255</v>
      </c>
      <c r="E313" s="309" t="s">
        <v>23</v>
      </c>
      <c r="F313" s="299">
        <f>F311-F312</f>
        <v>2255</v>
      </c>
      <c r="G313" s="315">
        <f>L322/10</f>
        <v>1.132E-2</v>
      </c>
      <c r="H313" s="271"/>
      <c r="I313" s="271"/>
      <c r="J313" s="271"/>
      <c r="K313" s="316" t="s">
        <v>1</v>
      </c>
      <c r="L313" s="316"/>
      <c r="M313" s="283"/>
      <c r="N313" s="283"/>
      <c r="O313" s="283"/>
      <c r="P313" s="316" t="s">
        <v>157</v>
      </c>
      <c r="Q313" s="316"/>
      <c r="R313" s="316"/>
      <c r="S313" s="316"/>
      <c r="T313" s="284" t="s">
        <v>171</v>
      </c>
      <c r="U313" s="284" t="s">
        <v>11</v>
      </c>
      <c r="W313" s="286">
        <v>-2.5000000000000001E-2</v>
      </c>
      <c r="X313" s="286">
        <v>-1.4999999999999999E-2</v>
      </c>
      <c r="Y313" s="286">
        <v>0</v>
      </c>
      <c r="Z313" s="286">
        <v>1.4999999999999999E-2</v>
      </c>
      <c r="AA313" s="300"/>
      <c r="AD313" s="283"/>
      <c r="AE313" s="283"/>
      <c r="AF313" s="283"/>
      <c r="AG313" s="286"/>
      <c r="AH313" s="268"/>
      <c r="AI313" s="268"/>
      <c r="AK313" s="283"/>
      <c r="AL313" s="283"/>
      <c r="AM313" s="283"/>
      <c r="AN313" s="294"/>
      <c r="AO313" s="268"/>
    </row>
    <row r="314" spans="2:42" s="267" customFormat="1" ht="13.5" hidden="1" customHeight="1" x14ac:dyDescent="0.2">
      <c r="B314" s="308"/>
      <c r="C314" s="297" t="s">
        <v>61</v>
      </c>
      <c r="D314" s="314">
        <f>D317-D313-D315</f>
        <v>1100.8</v>
      </c>
      <c r="E314" s="297" t="s">
        <v>61</v>
      </c>
      <c r="F314" s="299">
        <f>F317-F313-F315</f>
        <v>652.24</v>
      </c>
      <c r="G314" s="317">
        <f>D314*G313</f>
        <v>12.46</v>
      </c>
      <c r="H314" s="271"/>
      <c r="I314" s="271"/>
      <c r="J314" s="271"/>
      <c r="K314" s="318">
        <v>6</v>
      </c>
      <c r="L314" s="319" t="b">
        <f>IF(E333=1,IF(F333=1,M325,IF(F333=2,M325,IF(F333=3,M325,IF(F333=4,L305,IF(F333=5,M305,IF(F333=6,N305,IF(F333=7,O305))))))))</f>
        <v>0</v>
      </c>
      <c r="M314" s="320" t="s">
        <v>91</v>
      </c>
      <c r="N314" s="321" t="s">
        <v>2</v>
      </c>
      <c r="O314" s="322" t="s">
        <v>160</v>
      </c>
      <c r="P314" s="323" t="s">
        <v>2</v>
      </c>
      <c r="Q314" s="324" t="s">
        <v>103</v>
      </c>
      <c r="R314" s="324"/>
      <c r="S314" s="324"/>
      <c r="T314" s="290"/>
      <c r="U314" s="290"/>
      <c r="W314" s="286">
        <v>-2.5000000000000001E-2</v>
      </c>
      <c r="X314" s="286">
        <v>-1.4999999999999999E-2</v>
      </c>
      <c r="Y314" s="286">
        <v>0</v>
      </c>
      <c r="Z314" s="286">
        <v>1.4999999999999999E-2</v>
      </c>
      <c r="AA314" s="300"/>
      <c r="AD314" s="295"/>
      <c r="AE314" s="283"/>
      <c r="AF314" s="283"/>
      <c r="AG314" s="294"/>
      <c r="AH314" s="268"/>
      <c r="AI314" s="268"/>
      <c r="AK314" s="283"/>
      <c r="AL314" s="283"/>
      <c r="AM314" s="283"/>
      <c r="AN314" s="294"/>
      <c r="AO314" s="268"/>
    </row>
    <row r="315" spans="2:42" s="267" customFormat="1" ht="13.5" hidden="1" customHeight="1" x14ac:dyDescent="0.2">
      <c r="B315" s="308"/>
      <c r="C315" s="297" t="s">
        <v>62</v>
      </c>
      <c r="D315" s="314">
        <f>$F$315</f>
        <v>390</v>
      </c>
      <c r="E315" s="297" t="s">
        <v>62</v>
      </c>
      <c r="F315" s="314">
        <f>O322*D304</f>
        <v>390</v>
      </c>
      <c r="G315" s="325">
        <f>G313*10</f>
        <v>0.1132</v>
      </c>
      <c r="H315" s="271"/>
      <c r="I315" s="271"/>
      <c r="J315" s="271"/>
      <c r="K315" s="318">
        <v>12</v>
      </c>
      <c r="L315" s="288" t="b">
        <f>IF(E333=2,IF(F333=1,M325,IF(F333=2,M325,IF(F333=3,M325,IF(F333=4,L306,IF(F333=5,M306,IF(F333=6,N306,IF(F333=7,O306,IF(F333=8,O306)))))))))</f>
        <v>0</v>
      </c>
      <c r="M315" s="326" t="s">
        <v>92</v>
      </c>
      <c r="N315" s="321"/>
      <c r="O315" s="322"/>
      <c r="P315" s="327" t="s">
        <v>8</v>
      </c>
      <c r="Q315" s="327" t="s">
        <v>146</v>
      </c>
      <c r="R315" s="287"/>
      <c r="T315" s="290"/>
      <c r="U315" s="290"/>
      <c r="W315" s="286">
        <f>IF(N345&gt;6000,W314, IF(N345&gt;3000,W313, IF(N345&gt;499,W312, "Min $500")))</f>
        <v>-2.5000000000000001E-2</v>
      </c>
      <c r="X315" s="286">
        <f>IF(N345&gt;6000,X314, IF(N345&gt;3000,X313, IF(N345&gt;499,X312, "Min $500")))</f>
        <v>-1.4999999999999999E-2</v>
      </c>
      <c r="Y315" s="286">
        <f>IF(N345&gt;6000,Y314, IF(N345&gt;3000,Y313, IF(N345&gt;499,Y312, "Min $500")))</f>
        <v>0</v>
      </c>
      <c r="Z315" s="286">
        <f>IF(N345&gt;6000,Z314, IF(N345&gt;3000,Z313, IF(N345&gt;499,Z312, "Min $500")))</f>
        <v>1.4999999999999999E-2</v>
      </c>
      <c r="AA315" s="300"/>
      <c r="AD315" s="283"/>
      <c r="AE315" s="283"/>
      <c r="AF315" s="283"/>
      <c r="AG315" s="294"/>
      <c r="AH315" s="268"/>
      <c r="AI315" s="268"/>
      <c r="AK315" s="283"/>
      <c r="AL315" s="283"/>
      <c r="AM315" s="283"/>
      <c r="AN315" s="294"/>
      <c r="AO315" s="268"/>
    </row>
    <row r="316" spans="2:42" s="267" customFormat="1" ht="13.5" hidden="1" customHeight="1" x14ac:dyDescent="0.2">
      <c r="B316" s="308" t="s">
        <v>27</v>
      </c>
      <c r="C316" s="309" t="s">
        <v>26</v>
      </c>
      <c r="D316" s="314">
        <f>D314+D315</f>
        <v>1490.8</v>
      </c>
      <c r="E316" s="309" t="s">
        <v>26</v>
      </c>
      <c r="F316" s="299">
        <f>F314+F315</f>
        <v>1042.24</v>
      </c>
      <c r="H316" s="271"/>
      <c r="I316" s="271"/>
      <c r="J316" s="271"/>
      <c r="K316" s="318">
        <v>18</v>
      </c>
      <c r="L316" s="288" t="b">
        <f>IF(E333=3,IF(F333=1,M325,IF(F333=2,M325,IF(F333=3,M325,IF(F333=4,L307,IF(F333=5,M307,IF(F333=6,N307,IF(F333=7,O307,IF(F333=8,P307)))))))))</f>
        <v>0</v>
      </c>
      <c r="M316" s="326" t="s">
        <v>93</v>
      </c>
      <c r="N316" s="328">
        <f>IF(E333=1,6,IF(E333=2,12,IF(E333=3,18,IF(E333=4,24,IF(E333=5,30,IF(E333=6,36,IF(E333=7,42,IF(E333=8,48,0))))))))</f>
        <v>36</v>
      </c>
      <c r="O316" s="328">
        <f>IF(F333=1,0,IF(F333=2,0,IF(F333=3,1,IF(F333=4,1,IF(F333=5,2,IF(F333=6,3,IF(F333=7,4,IF(F333=8,5,IF(F333=9,6,IF(F333=10,7,IF(F333=11,8,IF(F333=12,9,IF(F333=13,10,IF(F333=14,11,IF(F333=15,12,)))))))))))))))</f>
        <v>7</v>
      </c>
      <c r="P316" s="327" t="s">
        <v>11</v>
      </c>
      <c r="Q316" s="327" t="str">
        <f>IF(E333=4,"Deferred Start &amp; 0% Int",IF(E333=6,"Deferred Start &amp; 0% Int","N/A"))</f>
        <v>Deferred Start &amp; 0% Int</v>
      </c>
      <c r="R316" s="287"/>
      <c r="T316" s="290"/>
      <c r="U316" s="290"/>
      <c r="AA316" s="300"/>
      <c r="AC316" s="278"/>
      <c r="AD316" s="278"/>
      <c r="AE316" s="278"/>
      <c r="AF316" s="278"/>
      <c r="AG316" s="278"/>
      <c r="AH316" s="278"/>
      <c r="AI316" s="278"/>
      <c r="AJ316" s="278"/>
      <c r="AK316" s="278"/>
      <c r="AL316" s="278"/>
      <c r="AM316" s="278"/>
      <c r="AN316" s="278"/>
      <c r="AO316" s="278"/>
      <c r="AP316" s="278"/>
    </row>
    <row r="317" spans="2:42" s="267" customFormat="1" ht="13.5" hidden="1" customHeight="1" x14ac:dyDescent="0.2">
      <c r="B317" s="308" t="s">
        <v>32</v>
      </c>
      <c r="C317" s="309" t="s">
        <v>31</v>
      </c>
      <c r="D317" s="314">
        <f>D322*D304</f>
        <v>3745.8</v>
      </c>
      <c r="E317" s="309" t="s">
        <v>31</v>
      </c>
      <c r="F317" s="299">
        <f>(F322*N316)</f>
        <v>3297.24</v>
      </c>
      <c r="G317" s="283"/>
      <c r="H317" s="271"/>
      <c r="I317" s="271"/>
      <c r="J317" s="271"/>
      <c r="K317" s="318">
        <v>24</v>
      </c>
      <c r="L317" s="288" t="b">
        <f>IF(E333=4,IF(F333=1,M325,IF(F333=2,M325,IF(F333=3,M325,IF(F333=4,L308,IF(F333=5,M308,IF(F333=6,N308,IF(F333=7,O308,IF(F333=8,P308,IF(F333=9,Q308,))))))))))</f>
        <v>0</v>
      </c>
      <c r="M317" s="329">
        <v>3</v>
      </c>
      <c r="N317" s="328"/>
      <c r="O317" s="328"/>
      <c r="P317" s="327" t="s">
        <v>13</v>
      </c>
      <c r="Q317" s="287" t="str">
        <f>IF(E333&gt;0,"N/A", "Interest Free")</f>
        <v>N/A</v>
      </c>
      <c r="R317" s="287"/>
      <c r="T317" s="290"/>
      <c r="U317" s="290"/>
      <c r="W317" s="330" t="s">
        <v>101</v>
      </c>
      <c r="X317" s="330"/>
      <c r="Y317" s="330"/>
      <c r="Z317" s="277" t="b">
        <f>IF(E333=2,W322,IF(E333=3,X322,IF(E333=4,Y322,IF(E333=5,Z322))))</f>
        <v>0</v>
      </c>
      <c r="AA317" s="300"/>
      <c r="AC317" s="285"/>
      <c r="AD317" s="285"/>
      <c r="AE317" s="285"/>
      <c r="AF317" s="285"/>
      <c r="AG317" s="285"/>
      <c r="AH317" s="285"/>
      <c r="AI317" s="285"/>
      <c r="AJ317" s="285"/>
      <c r="AK317" s="285"/>
      <c r="AL317" s="285"/>
      <c r="AM317" s="285"/>
      <c r="AN317" s="285"/>
      <c r="AO317" s="285"/>
      <c r="AP317" s="285"/>
    </row>
    <row r="318" spans="2:42" s="267" customFormat="1" ht="13.5" hidden="1" customHeight="1" x14ac:dyDescent="0.2">
      <c r="B318" s="308" t="s">
        <v>35</v>
      </c>
      <c r="C318" s="297" t="s">
        <v>30</v>
      </c>
      <c r="D318" s="314">
        <f>D312+D317</f>
        <v>4045.8</v>
      </c>
      <c r="E318" s="297" t="s">
        <v>30</v>
      </c>
      <c r="F318" s="299">
        <f>F312+F317</f>
        <v>3597.24</v>
      </c>
      <c r="G318" s="268"/>
      <c r="H318" s="271"/>
      <c r="I318" s="271"/>
      <c r="J318" s="271"/>
      <c r="K318" s="318">
        <v>30</v>
      </c>
      <c r="L318" s="288" t="b">
        <f>IF(E333=5,IF(F333=1,M325,IF(F333=2,M325,IF(F333=3,M325,IF(F333=4,N309,IF(F333=5,P309,IF(F333=6,N309,IF(F333=7,O309,IF(F333=8,P309,IF(F333=9,Q309,IF(F333=10,R309,IF(F333=11,S309))))))))))))</f>
        <v>0</v>
      </c>
      <c r="M318" s="271" t="s">
        <v>151</v>
      </c>
      <c r="N318" s="271"/>
      <c r="O318" s="321" t="s">
        <v>156</v>
      </c>
      <c r="P318" s="327" t="s">
        <v>16</v>
      </c>
      <c r="Q318" s="287" t="str">
        <f>IF(E333=1,"1 Mths 0% Interest",IF(E333=2,"N/A",IF(E333=3,"N/A",IF(E333=4,"N/A",IF(E333=5,"N/A",IF(E333=6,"N/A","N/A"))))))</f>
        <v>N/A</v>
      </c>
      <c r="R318" s="287"/>
      <c r="T318" s="290"/>
      <c r="U318" s="290"/>
      <c r="W318" s="331" t="s">
        <v>47</v>
      </c>
      <c r="X318" s="331" t="s">
        <v>48</v>
      </c>
      <c r="Y318" s="331" t="s">
        <v>49</v>
      </c>
      <c r="Z318" s="331" t="s">
        <v>161</v>
      </c>
      <c r="AA318" s="300"/>
      <c r="AD318" s="283"/>
      <c r="AE318" s="283"/>
      <c r="AF318" s="283"/>
      <c r="AG318" s="332"/>
      <c r="AH318" s="268"/>
      <c r="AI318" s="268"/>
      <c r="AK318" s="283"/>
      <c r="AL318" s="283"/>
      <c r="AM318" s="283"/>
      <c r="AN318" s="294"/>
      <c r="AO318" s="268"/>
    </row>
    <row r="319" spans="2:42" s="267" customFormat="1" ht="13.5" hidden="1" customHeight="1" x14ac:dyDescent="0.2">
      <c r="C319" s="333" t="s">
        <v>69</v>
      </c>
      <c r="D319" s="314">
        <f>PV(D320/12, D304, -D322)</f>
        <v>2517.14</v>
      </c>
      <c r="F319" s="314">
        <f>PV(F321/12, D304, -F322)</f>
        <v>2255.0100000000002</v>
      </c>
      <c r="H319" s="271"/>
      <c r="I319" s="271"/>
      <c r="J319" s="271"/>
      <c r="K319" s="318">
        <v>36</v>
      </c>
      <c r="L319" s="334">
        <f>IF(E333=6,IF(F333=7,O310,IF(F333=8,P310,IF(F333=9,Q310,IF(F333=10,R310,IF(F333=11,S310,IF(F333=12,T310)))))))</f>
        <v>0.1132</v>
      </c>
      <c r="M319" s="271" t="s">
        <v>152</v>
      </c>
      <c r="N319" s="271"/>
      <c r="O319" s="321"/>
      <c r="P319" s="327" t="s">
        <v>145</v>
      </c>
      <c r="Q319" s="287" t="str">
        <f>IF(E333=1,"2 Mths 0% Interest",IF(E333=2,"2 Mths 0% Interest",IF(E333=3,"N/A",IF(E333=4,"N/A",IF(E333=5,"N/A",IF(E333=6,"N/A","N/A"))))))</f>
        <v>N/A</v>
      </c>
      <c r="R319" s="287"/>
      <c r="T319" s="290"/>
      <c r="U319" s="290"/>
      <c r="W319" s="277">
        <v>-2.5000000000000001E-2</v>
      </c>
      <c r="X319" s="277">
        <v>-1.4999999999999999E-2</v>
      </c>
      <c r="Y319" s="277">
        <v>0</v>
      </c>
      <c r="Z319" s="277">
        <v>1.4999999999999999E-2</v>
      </c>
      <c r="AA319" s="300"/>
      <c r="AB319" s="304"/>
      <c r="AD319" s="295"/>
      <c r="AE319" s="283"/>
      <c r="AF319" s="283"/>
      <c r="AG319" s="332"/>
      <c r="AH319" s="268"/>
      <c r="AK319" s="295"/>
      <c r="AL319" s="283"/>
      <c r="AM319" s="283"/>
      <c r="AN319" s="294"/>
      <c r="AO319" s="268"/>
    </row>
    <row r="320" spans="2:42" s="267" customFormat="1" ht="13.5" hidden="1" customHeight="1" x14ac:dyDescent="0.2">
      <c r="B320" s="313"/>
      <c r="C320" s="297" t="s">
        <v>36</v>
      </c>
      <c r="D320" s="335">
        <f>$D$305</f>
        <v>0.27950000000000003</v>
      </c>
      <c r="E320" s="297" t="s">
        <v>36</v>
      </c>
      <c r="F320" s="335">
        <f>$D$305</f>
        <v>0.27950000000000003</v>
      </c>
      <c r="G320" s="336"/>
      <c r="H320" s="271"/>
      <c r="I320" s="271"/>
      <c r="J320" s="271"/>
      <c r="K320" s="318">
        <v>42</v>
      </c>
      <c r="L320" s="334" t="b">
        <f>IF(E333=7,IF(F333=9,Q311,IF(F333=10,R311,IF(F333=11,S311,IF(F333=12,T311,IF(F333=13,U311,IF(F333=14,T320,IF(F333=15,U320))))))))</f>
        <v>0</v>
      </c>
      <c r="M320" s="337" t="s">
        <v>29</v>
      </c>
      <c r="N320" s="337"/>
      <c r="O320" s="272">
        <f>IF(F333&gt;2,F322,D322)</f>
        <v>91.59</v>
      </c>
      <c r="P320" s="327" t="s">
        <v>18</v>
      </c>
      <c r="Q320" s="287" t="str">
        <f>IF(E333=1,"3 Mths 0% Interest",IF(E333=2,"3 Mths 0% Interest",IF(E333=3,"3 Mths 0% Interest","N/A")))</f>
        <v>N/A</v>
      </c>
      <c r="R320" s="287"/>
      <c r="T320" s="290">
        <v>0.1246</v>
      </c>
      <c r="U320" s="290"/>
      <c r="W320" s="277">
        <v>-2.5000000000000001E-2</v>
      </c>
      <c r="X320" s="277">
        <v>-1.4999999999999999E-2</v>
      </c>
      <c r="Y320" s="277">
        <v>0</v>
      </c>
      <c r="Z320" s="277">
        <v>1.4999999999999999E-2</v>
      </c>
      <c r="AA320" s="300"/>
      <c r="AB320" s="338"/>
      <c r="AD320" s="283"/>
      <c r="AE320" s="283"/>
      <c r="AF320" s="283"/>
      <c r="AG320" s="332"/>
      <c r="AH320" s="268"/>
      <c r="AK320" s="283"/>
      <c r="AL320" s="283"/>
      <c r="AM320" s="283"/>
      <c r="AN320" s="294"/>
      <c r="AO320" s="268"/>
    </row>
    <row r="321" spans="2:42" s="267" customFormat="1" hidden="1" x14ac:dyDescent="0.2">
      <c r="B321" s="296"/>
      <c r="C321" s="339" t="s">
        <v>83</v>
      </c>
      <c r="D321" s="286">
        <f>RATE( D304,D322*-1,D313,0,0)*12</f>
        <v>0.3659</v>
      </c>
      <c r="E321" s="339" t="s">
        <v>83</v>
      </c>
      <c r="F321" s="286">
        <f>RATE( D304,F322*-1,F313,F320,0)*12</f>
        <v>0.2661</v>
      </c>
      <c r="G321" s="283"/>
      <c r="H321" s="271"/>
      <c r="I321" s="271"/>
      <c r="J321" s="271"/>
      <c r="K321" s="318">
        <v>48</v>
      </c>
      <c r="L321" s="334" t="b">
        <f>IF(E333=8,IF(F333=9,Q312,IF(F333=10,R312,IF(F333=11,S312,IF(F333=12,T312,IF(F333=13,U312,IF(F333=14,T321,IF(F333=15,U321))))))))</f>
        <v>0</v>
      </c>
      <c r="M321" s="337"/>
      <c r="N321" s="337"/>
      <c r="O321" s="272"/>
      <c r="P321" s="327" t="s">
        <v>148</v>
      </c>
      <c r="Q321" s="327" t="str">
        <f>IF(E333=1,"N/A",IF(E333=2,"4 Mths 0% Interest",IF(E333=3,"4 Mths 0% Interest",IF(E333=4,"4 Mths 0% Interest","N/A"))))</f>
        <v>N/A</v>
      </c>
      <c r="R321" s="287"/>
      <c r="T321" s="290">
        <v>0.1007</v>
      </c>
      <c r="U321" s="290">
        <v>0.1074</v>
      </c>
      <c r="W321" s="277">
        <v>-2.5000000000000001E-2</v>
      </c>
      <c r="X321" s="277">
        <v>-1.4999999999999999E-2</v>
      </c>
      <c r="Y321" s="277">
        <v>0</v>
      </c>
      <c r="Z321" s="277">
        <v>1.4999999999999999E-2</v>
      </c>
      <c r="AA321" s="300"/>
      <c r="AB321" s="338"/>
      <c r="AC321" s="285"/>
      <c r="AD321" s="285"/>
      <c r="AE321" s="285"/>
      <c r="AF321" s="285"/>
      <c r="AG321" s="285"/>
      <c r="AH321" s="285"/>
      <c r="AI321" s="285"/>
      <c r="AJ321" s="285"/>
      <c r="AK321" s="285"/>
      <c r="AL321" s="285"/>
      <c r="AM321" s="285"/>
      <c r="AN321" s="285"/>
      <c r="AO321" s="285"/>
      <c r="AP321" s="285"/>
    </row>
    <row r="322" spans="2:42" s="267" customFormat="1" hidden="1" x14ac:dyDescent="0.2">
      <c r="B322" s="340"/>
      <c r="C322" s="297" t="s">
        <v>29</v>
      </c>
      <c r="D322" s="341">
        <f>PMT(D305/12,D304,-D313,,0)+O322</f>
        <v>104.05</v>
      </c>
      <c r="E322" s="297" t="s">
        <v>29</v>
      </c>
      <c r="F322" s="314">
        <f>PMT(D305/12,D304,-F313,0)-G314+O322</f>
        <v>91.59</v>
      </c>
      <c r="G322" s="283"/>
      <c r="H322" s="271"/>
      <c r="I322" s="271"/>
      <c r="J322" s="271"/>
      <c r="K322" s="287" t="s">
        <v>66</v>
      </c>
      <c r="L322" s="342">
        <f>IF(E333=1,L314,IF(E333=2,L315,IF(E333=3,L316,IF(E333=4,L317,IF(E333=5,L318,IF(E333=6,L319,IF(E333=7,L320,IF(E333=8,L321))))))))</f>
        <v>0.1132</v>
      </c>
      <c r="M322" s="273" t="s">
        <v>137</v>
      </c>
      <c r="N322" s="273"/>
      <c r="O322" s="343">
        <v>10.833299999999999</v>
      </c>
      <c r="P322" s="327" t="s">
        <v>149</v>
      </c>
      <c r="Q322" s="327" t="str">
        <f>IF(E333=1,"N/A",IF(E333=2,"N/A",IF(E333=3,"N/A",IF(E333=4,"5 Mths 0% Interest","N/A"))))</f>
        <v>N/A</v>
      </c>
      <c r="R322" s="287"/>
      <c r="W322" s="277">
        <f>IF(N345&gt;6000,W321,IF(N345&gt;3000,W320,IF(N345&gt;499,W319,"Min $500")))</f>
        <v>-2.5000000000000001E-2</v>
      </c>
      <c r="X322" s="277">
        <f>IF(N345&gt;6000,X321,IF(N345&gt;3000,X320,IF(N345&gt;499,X319,"Min $500")))</f>
        <v>-1.4999999999999999E-2</v>
      </c>
      <c r="Y322" s="277">
        <f>IF(N345&gt;6000,Y321,IF(N345&gt;3000,Y320,IF(N345&gt;499,Y319,"Min $500")))</f>
        <v>0</v>
      </c>
      <c r="Z322" s="277">
        <f>IF(N345&gt;6000,Z321,IF(N345&gt;3000,Z320,IF(N345&gt;499,Z319,"Min $500")))</f>
        <v>1.4999999999999999E-2</v>
      </c>
      <c r="AA322" s="300"/>
      <c r="AB322" s="338"/>
      <c r="AD322" s="283"/>
      <c r="AE322" s="283"/>
      <c r="AF322" s="283"/>
      <c r="AG322" s="294"/>
      <c r="AH322" s="268"/>
      <c r="AK322" s="283"/>
      <c r="AL322" s="283"/>
      <c r="AM322" s="283"/>
      <c r="AN322" s="290"/>
      <c r="AO322" s="283"/>
    </row>
    <row r="323" spans="2:42" s="267" customFormat="1" hidden="1" x14ac:dyDescent="0.2">
      <c r="B323" s="340"/>
      <c r="C323" s="297"/>
      <c r="D323" s="341"/>
      <c r="E323" s="297"/>
      <c r="F323" s="314"/>
      <c r="G323" s="283"/>
      <c r="H323" s="271"/>
      <c r="I323" s="271"/>
      <c r="J323" s="271"/>
      <c r="K323" s="273" t="s">
        <v>79</v>
      </c>
      <c r="L323" s="273"/>
      <c r="M323" s="288">
        <v>0.27950000000000003</v>
      </c>
      <c r="N323" s="344" t="s">
        <v>159</v>
      </c>
      <c r="O323" s="329">
        <v>55</v>
      </c>
      <c r="P323" s="345">
        <v>5.95</v>
      </c>
      <c r="Q323" s="327" t="str">
        <f>IF(E333=4,"6 Mths 0% Interest",IF(E333=5,"6 Mths 0% Interest","N,A"))</f>
        <v>N,A</v>
      </c>
      <c r="R323" s="287"/>
      <c r="AA323" s="300"/>
      <c r="AB323" s="338"/>
      <c r="AD323" s="283"/>
      <c r="AE323" s="283"/>
      <c r="AF323" s="283"/>
      <c r="AG323" s="294"/>
      <c r="AH323" s="268"/>
      <c r="AK323" s="283"/>
      <c r="AL323" s="283"/>
      <c r="AM323" s="283"/>
      <c r="AN323" s="290"/>
      <c r="AO323" s="283"/>
    </row>
    <row r="324" spans="2:42" s="267" customFormat="1" ht="16.149999999999999" hidden="1" customHeight="1" x14ac:dyDescent="0.2">
      <c r="C324" s="268"/>
      <c r="F324" s="287"/>
      <c r="G324" s="283"/>
      <c r="H324" s="271"/>
      <c r="I324" s="271"/>
      <c r="J324" s="271"/>
      <c r="K324" s="273" t="s">
        <v>80</v>
      </c>
      <c r="L324" s="273"/>
      <c r="M324" s="288">
        <v>0.27950000000000003</v>
      </c>
      <c r="N324" s="344" t="s">
        <v>158</v>
      </c>
      <c r="O324" s="329">
        <v>55</v>
      </c>
      <c r="P324" s="345">
        <v>10.833299999999999</v>
      </c>
      <c r="Q324" s="287" t="str">
        <f>IF(E333=5,"7 Mths 0% Interest",IF(E333=6,"7 Mths 0% Interest","N/A"))</f>
        <v>7 Mths 0% Interest</v>
      </c>
      <c r="W324" s="330" t="s">
        <v>154</v>
      </c>
      <c r="X324" s="330"/>
      <c r="Y324" s="330"/>
      <c r="Z324" s="277">
        <f>IF(E333=4,W329,IF(E333=5,X329,IF(E333=6,Y329,IF(E333=7,Z329))))</f>
        <v>0.01</v>
      </c>
      <c r="AA324" s="300"/>
      <c r="AB324" s="338"/>
      <c r="AD324" s="283"/>
      <c r="AE324" s="283"/>
      <c r="AF324" s="283"/>
      <c r="AG324" s="294"/>
      <c r="AH324" s="268"/>
      <c r="AK324" s="283"/>
      <c r="AL324" s="283"/>
      <c r="AM324" s="283"/>
      <c r="AN324" s="290"/>
      <c r="AO324" s="283"/>
    </row>
    <row r="325" spans="2:42" s="267" customFormat="1" hidden="1" x14ac:dyDescent="0.2">
      <c r="C325" s="346"/>
      <c r="E325" s="267" t="s">
        <v>177</v>
      </c>
      <c r="G325" s="283"/>
      <c r="H325" s="271"/>
      <c r="I325" s="271"/>
      <c r="J325" s="271"/>
      <c r="K325" s="287" t="s">
        <v>64</v>
      </c>
      <c r="L325" s="347">
        <v>1</v>
      </c>
      <c r="M325" s="288">
        <f>IF(L325=2,M324, IF(L325=1,M323))</f>
        <v>0.27950000000000003</v>
      </c>
      <c r="N325" s="287"/>
      <c r="O325" s="348">
        <f>IF(L325=2,O324, IF(L325=1,O323))</f>
        <v>55</v>
      </c>
      <c r="P325" s="349"/>
      <c r="Q325" s="287" t="str">
        <f>IF(E333=5,"8 Mths 0% Interest",IF(E333=6,"8 Mths 0% Interest",IF(E333=7,"8 Mths 0% Interest","N/A")))</f>
        <v>8 Mths 0% Interest</v>
      </c>
      <c r="W325" s="331" t="s">
        <v>49</v>
      </c>
      <c r="X325" s="331" t="s">
        <v>161</v>
      </c>
      <c r="Y325" s="331" t="s">
        <v>50</v>
      </c>
      <c r="Z325" s="331" t="s">
        <v>153</v>
      </c>
      <c r="AA325" s="300"/>
      <c r="AB325" s="338"/>
      <c r="AD325" s="283"/>
      <c r="AE325" s="283"/>
      <c r="AF325" s="283"/>
      <c r="AG325" s="294"/>
      <c r="AH325" s="268"/>
      <c r="AK325" s="283"/>
      <c r="AL325" s="283"/>
      <c r="AM325" s="283"/>
      <c r="AN325" s="290"/>
      <c r="AO325" s="283"/>
    </row>
    <row r="326" spans="2:42" s="267" customFormat="1" hidden="1" x14ac:dyDescent="0.2">
      <c r="C326" s="346"/>
      <c r="G326" s="283"/>
      <c r="H326" s="271"/>
      <c r="I326" s="271"/>
      <c r="J326" s="271"/>
      <c r="K326" s="287"/>
      <c r="L326" s="347"/>
      <c r="M326" s="288"/>
      <c r="N326" s="287"/>
      <c r="O326" s="348"/>
      <c r="P326" s="349"/>
      <c r="Q326" s="287" t="str">
        <f>IF(E333=6,"9 Mths 0% Interest",IF(E333=7,"9 Mths 0% Interest",IF(E333=8,"9 Mths 0% Interest","N/A")))</f>
        <v>9 Mths 0% Interest</v>
      </c>
      <c r="R326" s="287"/>
      <c r="W326" s="277">
        <v>-0.01</v>
      </c>
      <c r="X326" s="277">
        <v>0</v>
      </c>
      <c r="Y326" s="277">
        <v>0.01</v>
      </c>
      <c r="Z326" s="277">
        <v>0</v>
      </c>
      <c r="AA326" s="300"/>
      <c r="AB326" s="338"/>
      <c r="AD326" s="283"/>
      <c r="AE326" s="283"/>
      <c r="AF326" s="283"/>
      <c r="AG326" s="294"/>
      <c r="AH326" s="268"/>
      <c r="AK326" s="283"/>
      <c r="AL326" s="283"/>
      <c r="AM326" s="283"/>
      <c r="AN326" s="290"/>
      <c r="AO326" s="283"/>
    </row>
    <row r="327" spans="2:42" s="267" customFormat="1" hidden="1" x14ac:dyDescent="0.2">
      <c r="C327" s="346"/>
      <c r="G327" s="283"/>
      <c r="H327" s="271"/>
      <c r="I327" s="271"/>
      <c r="J327" s="271"/>
      <c r="K327" s="287"/>
      <c r="L327" s="347"/>
      <c r="M327" s="288"/>
      <c r="N327" s="287"/>
      <c r="O327" s="348"/>
      <c r="P327" s="349"/>
      <c r="Q327" s="287" t="str">
        <f>IF(E333=7,"10 Mths 0% Interest",IF(E333=8,"10 Mths 0% Interest","N/A"))</f>
        <v>N/A</v>
      </c>
      <c r="R327" s="287"/>
      <c r="W327" s="277">
        <v>-0.01</v>
      </c>
      <c r="X327" s="277">
        <v>0</v>
      </c>
      <c r="Y327" s="277">
        <v>0.01</v>
      </c>
      <c r="Z327" s="277">
        <v>0</v>
      </c>
      <c r="AA327" s="300"/>
      <c r="AB327" s="338"/>
      <c r="AD327" s="283"/>
      <c r="AE327" s="283"/>
      <c r="AF327" s="283"/>
      <c r="AG327" s="294"/>
      <c r="AH327" s="268"/>
      <c r="AK327" s="283"/>
      <c r="AL327" s="283"/>
      <c r="AM327" s="283"/>
      <c r="AN327" s="290"/>
      <c r="AO327" s="283"/>
    </row>
    <row r="328" spans="2:42" s="267" customFormat="1" hidden="1" x14ac:dyDescent="0.2">
      <c r="C328" s="346"/>
      <c r="G328" s="283"/>
      <c r="H328" s="271"/>
      <c r="I328" s="271"/>
      <c r="J328" s="271"/>
      <c r="K328" s="287"/>
      <c r="L328" s="347"/>
      <c r="M328" s="288"/>
      <c r="N328" s="287"/>
      <c r="O328" s="348"/>
      <c r="P328" s="349"/>
      <c r="Q328" s="287" t="str">
        <f>IF(E333=8,"11 Mths 0% Interest","N/A")</f>
        <v>N/A</v>
      </c>
      <c r="R328" s="287"/>
      <c r="W328" s="277">
        <v>-0.01</v>
      </c>
      <c r="X328" s="277">
        <v>0</v>
      </c>
      <c r="Y328" s="277">
        <v>0.01</v>
      </c>
      <c r="Z328" s="277">
        <v>0</v>
      </c>
      <c r="AA328" s="300"/>
      <c r="AB328" s="338"/>
      <c r="AD328" s="283"/>
      <c r="AE328" s="283"/>
      <c r="AF328" s="283"/>
      <c r="AG328" s="294"/>
      <c r="AH328" s="268"/>
      <c r="AK328" s="283"/>
      <c r="AL328" s="283"/>
      <c r="AM328" s="283"/>
      <c r="AN328" s="290"/>
      <c r="AO328" s="283"/>
    </row>
    <row r="329" spans="2:42" s="267" customFormat="1" hidden="1" x14ac:dyDescent="0.2">
      <c r="C329" s="346"/>
      <c r="G329" s="283"/>
      <c r="H329" s="271"/>
      <c r="I329" s="271"/>
      <c r="J329" s="271"/>
      <c r="K329" s="287"/>
      <c r="L329" s="347"/>
      <c r="M329" s="288"/>
      <c r="N329" s="287"/>
      <c r="O329" s="348"/>
      <c r="P329" s="349"/>
      <c r="Q329" s="327" t="str">
        <f>IF(E333=7,"N/A",IF(E333=8,"12 Mths 0% Interest","N/A"))</f>
        <v>N/A</v>
      </c>
      <c r="R329" s="287"/>
      <c r="W329" s="277">
        <f>IF(N345&gt;6000,W328,IF(N345&gt;3000,W327,IF(N345&gt;499,W326,"Min $500")))</f>
        <v>-0.01</v>
      </c>
      <c r="X329" s="277">
        <f>IF(N345&gt;6000,X328,IF(N345&gt;3000,X327,IF(N345&gt;499,X326,"Min $500")))</f>
        <v>0</v>
      </c>
      <c r="Y329" s="277">
        <f>IF(N345&gt;6000,Y328,IF(N345&gt;3000,Y327,IF(N345&gt;499,Y326,"Min $500")))</f>
        <v>0.01</v>
      </c>
      <c r="Z329" s="277">
        <f>IF(N345&gt;6000,Z328,IF(N345&gt;3000,Z327,IF(N345&gt;499,Z326,"Min $500")))</f>
        <v>0</v>
      </c>
      <c r="AA329" s="300"/>
      <c r="AB329" s="338"/>
      <c r="AD329" s="283"/>
      <c r="AE329" s="283"/>
      <c r="AF329" s="283"/>
      <c r="AG329" s="294"/>
      <c r="AH329" s="268"/>
      <c r="AK329" s="283"/>
      <c r="AL329" s="283"/>
      <c r="AM329" s="283"/>
      <c r="AN329" s="290"/>
      <c r="AO329" s="283"/>
    </row>
    <row r="330" spans="2:42" s="267" customFormat="1" hidden="1" x14ac:dyDescent="0.2">
      <c r="C330" s="346"/>
      <c r="G330" s="283"/>
      <c r="H330" s="271"/>
      <c r="I330" s="271"/>
      <c r="J330" s="271"/>
      <c r="AA330" s="300"/>
      <c r="AB330" s="338"/>
      <c r="AD330" s="283"/>
      <c r="AE330" s="283"/>
      <c r="AF330" s="283"/>
      <c r="AG330" s="294"/>
      <c r="AH330" s="268"/>
      <c r="AK330" s="283"/>
      <c r="AL330" s="283"/>
      <c r="AM330" s="283"/>
      <c r="AN330" s="290"/>
      <c r="AO330" s="283"/>
    </row>
    <row r="331" spans="2:42" s="267" customFormat="1" hidden="1" x14ac:dyDescent="0.2">
      <c r="B331" s="340"/>
      <c r="C331" s="297"/>
      <c r="D331" s="341"/>
      <c r="E331" s="297"/>
      <c r="F331" s="314"/>
      <c r="G331" s="283"/>
      <c r="H331" s="271"/>
      <c r="I331" s="271"/>
      <c r="J331" s="271"/>
      <c r="L331" s="350"/>
      <c r="M331" s="283"/>
      <c r="N331" s="351"/>
      <c r="O331" s="317"/>
      <c r="P331" s="317"/>
      <c r="Q331" s="352"/>
      <c r="V331" s="307" t="s">
        <v>112</v>
      </c>
      <c r="W331" s="307"/>
      <c r="X331" s="353" t="s">
        <v>52</v>
      </c>
      <c r="Y331" s="353">
        <f>N345</f>
        <v>2200</v>
      </c>
      <c r="Z331" s="286">
        <f>IF(E333=4,V336,IF(E333=5,W336,IF(E333=6,X336,IF(E333=7,Y336,IF(E333=8,Z336)))))</f>
        <v>0</v>
      </c>
      <c r="AA331" s="300"/>
      <c r="AB331" s="338"/>
      <c r="AD331" s="283"/>
      <c r="AE331" s="283"/>
      <c r="AF331" s="283"/>
      <c r="AG331" s="294"/>
      <c r="AH331" s="268"/>
      <c r="AK331" s="283"/>
      <c r="AL331" s="283"/>
      <c r="AM331" s="283"/>
      <c r="AN331" s="290"/>
      <c r="AO331" s="283"/>
    </row>
    <row r="332" spans="2:42" s="267" customFormat="1" hidden="1" x14ac:dyDescent="0.2">
      <c r="C332" s="303" t="s">
        <v>181</v>
      </c>
      <c r="D332" s="303" t="s">
        <v>81</v>
      </c>
      <c r="E332" s="354" t="s">
        <v>2</v>
      </c>
      <c r="F332" s="354" t="s">
        <v>110</v>
      </c>
      <c r="G332" s="303" t="s">
        <v>84</v>
      </c>
      <c r="K332" s="355" t="s">
        <v>115</v>
      </c>
      <c r="L332" s="355"/>
      <c r="M332" s="355"/>
      <c r="N332" s="277">
        <f>IF(F333=4,X303,IF(F333=5,Z303,IF(F333=6,Z310,IF(F333=7,Z317,IF(F333=8,Z324,IF(F333=9,Z331,IF(F333=10,Y338,IF(F333=11,AC338,IF(F333=12,X345,IF(F333=13,AB345,IF(F333=14,X352,IF(F333=15,AB352))))))))))))</f>
        <v>0</v>
      </c>
      <c r="O332" s="355" t="s">
        <v>114</v>
      </c>
      <c r="P332" s="355"/>
      <c r="Q332" s="355"/>
      <c r="R332" s="286" t="b">
        <f>IF(F333=3,S360)</f>
        <v>0</v>
      </c>
      <c r="S332" s="356">
        <f>IF(F333=3,R332,N332)</f>
        <v>0</v>
      </c>
      <c r="T332" s="356"/>
      <c r="U332" s="356"/>
      <c r="V332" s="310" t="s">
        <v>49</v>
      </c>
      <c r="W332" s="331" t="s">
        <v>161</v>
      </c>
      <c r="X332" s="310" t="s">
        <v>50</v>
      </c>
      <c r="Y332" s="331" t="s">
        <v>153</v>
      </c>
      <c r="Z332" s="310" t="s">
        <v>86</v>
      </c>
      <c r="AA332" s="300"/>
      <c r="AB332" s="304"/>
      <c r="AD332" s="283"/>
      <c r="AE332" s="283"/>
      <c r="AF332" s="283"/>
      <c r="AG332" s="294"/>
      <c r="AH332" s="268"/>
      <c r="AK332" s="283"/>
      <c r="AL332" s="283"/>
      <c r="AM332" s="283"/>
      <c r="AN332" s="290"/>
      <c r="AO332" s="268"/>
    </row>
    <row r="333" spans="2:42" s="267" customFormat="1" hidden="1" x14ac:dyDescent="0.2">
      <c r="C333" s="357">
        <f>IF(C335&gt;C334,F320, IF(C335&lt;C334,F321))</f>
        <v>0.2661</v>
      </c>
      <c r="D333" s="358">
        <v>1</v>
      </c>
      <c r="E333" s="318">
        <v>6</v>
      </c>
      <c r="F333" s="318">
        <v>10</v>
      </c>
      <c r="G333" s="325" t="str">
        <f>IF(F321&lt;D305,"Interest Rate",IF(F321&gt;D305,"Interest Free"))</f>
        <v>Interest Rate</v>
      </c>
      <c r="K333" s="307" t="s">
        <v>121</v>
      </c>
      <c r="L333" s="307"/>
      <c r="M333" s="307"/>
      <c r="N333" s="359" t="s">
        <v>117</v>
      </c>
      <c r="O333" s="359" t="s">
        <v>118</v>
      </c>
      <c r="P333" s="273" t="s">
        <v>119</v>
      </c>
      <c r="Q333" s="273"/>
      <c r="R333" s="273" t="s">
        <v>133</v>
      </c>
      <c r="S333" s="273"/>
      <c r="T333" s="303"/>
      <c r="U333" s="303"/>
      <c r="V333" s="286">
        <v>-1.4999999999999999E-2</v>
      </c>
      <c r="W333" s="277">
        <v>0</v>
      </c>
      <c r="X333" s="286">
        <v>0</v>
      </c>
      <c r="Y333" s="277">
        <v>0</v>
      </c>
      <c r="Z333" s="286">
        <v>1.4999999999999999E-2</v>
      </c>
      <c r="AA333" s="300"/>
      <c r="AB333" s="327"/>
      <c r="AC333" s="360"/>
      <c r="AD333" s="360"/>
      <c r="AE333" s="360"/>
      <c r="AF333" s="360"/>
      <c r="AG333" s="360"/>
      <c r="AH333" s="360"/>
      <c r="AI333" s="360"/>
      <c r="AJ333" s="285"/>
      <c r="AK333" s="285"/>
      <c r="AL333" s="285"/>
      <c r="AM333" s="285"/>
      <c r="AN333" s="285"/>
      <c r="AO333" s="285"/>
      <c r="AP333" s="285"/>
    </row>
    <row r="334" spans="2:42" s="267" customFormat="1" ht="13.5" hidden="1" customHeight="1" x14ac:dyDescent="0.2">
      <c r="C334" s="357">
        <f>$D$320</f>
        <v>0.27950000000000003</v>
      </c>
      <c r="E334" s="283"/>
      <c r="F334" s="361"/>
      <c r="G334" s="325">
        <f>IF(F321&lt;D305,F321, "For Promotion Term")</f>
        <v>0.2661</v>
      </c>
      <c r="K334" s="307"/>
      <c r="L334" s="307"/>
      <c r="M334" s="307"/>
      <c r="N334" s="354">
        <f>G344*S332</f>
        <v>0</v>
      </c>
      <c r="O334" s="362">
        <f>$S$336</f>
        <v>281.95999999999998</v>
      </c>
      <c r="P334" s="363">
        <f>S336-G348</f>
        <v>281.95999999999998</v>
      </c>
      <c r="Q334" s="363"/>
      <c r="R334" s="363">
        <f>S336-G348+F310-10</f>
        <v>326.95999999999998</v>
      </c>
      <c r="S334" s="363"/>
      <c r="T334" s="364"/>
      <c r="U334" s="364"/>
      <c r="V334" s="286">
        <v>-1.4999999999999999E-2</v>
      </c>
      <c r="W334" s="277">
        <v>0</v>
      </c>
      <c r="X334" s="286">
        <v>0</v>
      </c>
      <c r="Y334" s="277">
        <v>0</v>
      </c>
      <c r="Z334" s="286">
        <v>1.4999999999999999E-2</v>
      </c>
      <c r="AA334" s="300"/>
      <c r="AB334" s="327"/>
      <c r="AC334" s="135"/>
      <c r="AD334" s="295"/>
      <c r="AE334" s="295"/>
      <c r="AF334" s="295"/>
      <c r="AG334" s="286"/>
      <c r="AH334" s="268"/>
      <c r="AI334" s="135"/>
      <c r="AJ334" s="135"/>
      <c r="AK334" s="295"/>
      <c r="AL334" s="295"/>
      <c r="AM334" s="295"/>
      <c r="AN334" s="365"/>
      <c r="AO334" s="268"/>
      <c r="AP334" s="135"/>
    </row>
    <row r="335" spans="2:42" s="267" customFormat="1" ht="13.5" hidden="1" customHeight="1" x14ac:dyDescent="0.2">
      <c r="C335" s="357">
        <f>$F$321</f>
        <v>0.2661</v>
      </c>
      <c r="G335" s="325">
        <f>IF(F333&gt;2,G334," ")</f>
        <v>0.2661</v>
      </c>
      <c r="H335" s="366"/>
      <c r="K335" s="367" t="s">
        <v>53</v>
      </c>
      <c r="L335" s="367" t="s">
        <v>113</v>
      </c>
      <c r="M335" s="367" t="s">
        <v>2</v>
      </c>
      <c r="N335" s="368" t="s">
        <v>55</v>
      </c>
      <c r="O335" s="367" t="s">
        <v>56</v>
      </c>
      <c r="P335" s="303"/>
      <c r="Q335" s="368" t="s">
        <v>57</v>
      </c>
      <c r="R335" s="367" t="s">
        <v>58</v>
      </c>
      <c r="S335" s="368" t="s">
        <v>59</v>
      </c>
      <c r="T335" s="368"/>
      <c r="U335" s="368"/>
      <c r="V335" s="286">
        <v>-1.4999999999999999E-2</v>
      </c>
      <c r="W335" s="277">
        <v>0</v>
      </c>
      <c r="X335" s="286">
        <v>0</v>
      </c>
      <c r="Y335" s="277">
        <v>0</v>
      </c>
      <c r="Z335" s="286">
        <v>1.4999999999999999E-2</v>
      </c>
      <c r="AA335" s="300"/>
      <c r="AB335" s="327"/>
      <c r="AC335" s="135"/>
      <c r="AD335" s="295"/>
      <c r="AE335" s="295"/>
      <c r="AF335" s="295"/>
      <c r="AG335" s="294"/>
      <c r="AH335" s="268"/>
      <c r="AI335" s="135"/>
      <c r="AJ335" s="135"/>
      <c r="AK335" s="295"/>
      <c r="AL335" s="295"/>
      <c r="AM335" s="295"/>
      <c r="AN335" s="365"/>
      <c r="AO335" s="268"/>
      <c r="AP335" s="135"/>
    </row>
    <row r="336" spans="2:42" s="267" customFormat="1" hidden="1" x14ac:dyDescent="0.2">
      <c r="H336" s="366"/>
      <c r="K336" s="307">
        <f>$D$313</f>
        <v>2255</v>
      </c>
      <c r="L336" s="369">
        <f>$O$316</f>
        <v>7</v>
      </c>
      <c r="M336" s="369">
        <f>$N$316</f>
        <v>36</v>
      </c>
      <c r="N336" s="370">
        <f>IF(F333=1,D320,C333)</f>
        <v>0.2661</v>
      </c>
      <c r="O336" s="370">
        <v>0.17899999999999999</v>
      </c>
      <c r="P336" s="371"/>
      <c r="Q336" s="372">
        <f>PMT(N336/12, M336,-K336)</f>
        <v>91.59</v>
      </c>
      <c r="R336" s="372">
        <f>PV(O336/12, M336, -Q336)</f>
        <v>2536.96</v>
      </c>
      <c r="S336" s="372">
        <f>R336-K336</f>
        <v>281.95999999999998</v>
      </c>
      <c r="T336" s="373"/>
      <c r="U336" s="373"/>
      <c r="V336" s="286">
        <f>IF(Y331&gt;6000,V335, IF(Y331&gt;3000,V334, IF(Y331&gt;499,V333, "Min $500")))</f>
        <v>-1.4999999999999999E-2</v>
      </c>
      <c r="W336" s="277">
        <f>IF(Y331&gt;6000,W335,IF(Y331&gt;3000,W334,IF(Y331&gt;499,W333,"Min $500")))</f>
        <v>0</v>
      </c>
      <c r="X336" s="286">
        <f>IF(Y331&gt;6000,X335, IF(Y331&gt;3000,X334, IF(Y331&gt;499,X333, "Min $500")))</f>
        <v>0</v>
      </c>
      <c r="Y336" s="277">
        <f>IF(Y331&gt;6000,Y335,IF(Y331&gt;3000,Y334,IF(Y331&gt;499,Y333,"Min $500")))</f>
        <v>0</v>
      </c>
      <c r="Z336" s="286">
        <f>IF(Y331&gt;6000,Z335, IF(Y331&gt;3000,Z334, IF(Y331&gt;499,Z333, "Min $500")))</f>
        <v>1.4999999999999999E-2</v>
      </c>
      <c r="AA336" s="300"/>
      <c r="AC336" s="135"/>
      <c r="AD336" s="295"/>
      <c r="AE336" s="295"/>
      <c r="AF336" s="295"/>
      <c r="AG336" s="294"/>
      <c r="AH336" s="268"/>
      <c r="AI336" s="135"/>
      <c r="AJ336" s="135"/>
      <c r="AK336" s="283"/>
      <c r="AL336" s="295"/>
      <c r="AM336" s="295"/>
      <c r="AN336" s="365"/>
      <c r="AO336" s="268"/>
      <c r="AP336" s="135"/>
    </row>
    <row r="337" spans="2:42" s="267" customFormat="1" ht="16.5" hidden="1" customHeight="1" x14ac:dyDescent="0.2">
      <c r="C337" s="374" t="s">
        <v>67</v>
      </c>
      <c r="D337" s="374"/>
      <c r="E337" s="374"/>
      <c r="F337" s="374"/>
      <c r="G337" s="375">
        <f>$D$314</f>
        <v>1100.8</v>
      </c>
      <c r="K337" s="307"/>
      <c r="L337" s="369"/>
      <c r="M337" s="369"/>
      <c r="N337" s="370"/>
      <c r="O337" s="370"/>
      <c r="P337" s="371"/>
      <c r="Q337" s="372"/>
      <c r="R337" s="372"/>
      <c r="S337" s="372"/>
      <c r="T337" s="373"/>
      <c r="U337" s="373"/>
      <c r="V337" s="268"/>
      <c r="W337" s="268"/>
      <c r="X337" s="268"/>
      <c r="Y337" s="268"/>
      <c r="Z337" s="268"/>
      <c r="AA337" s="283"/>
      <c r="AB337" s="283"/>
      <c r="AC337" s="283"/>
      <c r="AD337" s="283"/>
      <c r="AE337" s="283"/>
      <c r="AF337" s="283"/>
      <c r="AG337" s="283"/>
      <c r="AH337" s="283"/>
      <c r="AI337" s="283"/>
      <c r="AJ337" s="283"/>
      <c r="AK337" s="283"/>
      <c r="AL337" s="283"/>
      <c r="AM337" s="283"/>
      <c r="AN337" s="283"/>
      <c r="AO337" s="283"/>
      <c r="AP337" s="283"/>
    </row>
    <row r="338" spans="2:42" s="267" customFormat="1" ht="15.75" hidden="1" customHeight="1" x14ac:dyDescent="0.2">
      <c r="C338" s="374"/>
      <c r="D338" s="374"/>
      <c r="E338" s="374"/>
      <c r="F338" s="374"/>
      <c r="G338" s="375"/>
      <c r="I338" s="366"/>
      <c r="J338" s="366"/>
      <c r="V338" s="330" t="s">
        <v>168</v>
      </c>
      <c r="W338" s="330"/>
      <c r="X338" s="330"/>
      <c r="Y338" s="277">
        <f>IF(E333=5,V343,IF(E333=6,W343,IF(E333=7,X343,IF(E333=8,Y343))))</f>
        <v>0</v>
      </c>
      <c r="Z338" s="330" t="s">
        <v>169</v>
      </c>
      <c r="AA338" s="330"/>
      <c r="AB338" s="330"/>
      <c r="AC338" s="277">
        <f>IF(E333=5,Z343,IF(E333=6,AA343,IF(E333=7,AB343,IF(E333=8,AC343))))</f>
        <v>-1.4999999999999999E-2</v>
      </c>
      <c r="AD338" s="283"/>
      <c r="AE338" s="283"/>
      <c r="AF338" s="283"/>
      <c r="AG338" s="283"/>
      <c r="AH338" s="283"/>
      <c r="AI338" s="283"/>
      <c r="AJ338" s="283"/>
      <c r="AK338" s="283"/>
      <c r="AL338" s="283"/>
      <c r="AM338" s="283"/>
      <c r="AN338" s="283"/>
      <c r="AO338" s="283"/>
      <c r="AP338" s="283"/>
    </row>
    <row r="339" spans="2:42" s="268" customFormat="1" hidden="1" x14ac:dyDescent="0.2">
      <c r="B339" s="267"/>
      <c r="C339" s="374" t="s">
        <v>63</v>
      </c>
      <c r="D339" s="374"/>
      <c r="E339" s="374"/>
      <c r="F339" s="374"/>
      <c r="G339" s="375">
        <f>IF(F333=1,0,IF(F333=2,0,IF(F333=3,0,IF(F333&gt;3,G337-G341))))</f>
        <v>652.24</v>
      </c>
      <c r="I339" s="267"/>
      <c r="J339" s="267"/>
      <c r="K339" s="307" t="s">
        <v>120</v>
      </c>
      <c r="L339" s="307"/>
      <c r="M339" s="307"/>
      <c r="N339" s="359" t="s">
        <v>117</v>
      </c>
      <c r="O339" s="359" t="s">
        <v>118</v>
      </c>
      <c r="P339" s="272" t="s">
        <v>119</v>
      </c>
      <c r="Q339" s="272"/>
      <c r="R339" s="272" t="s">
        <v>133</v>
      </c>
      <c r="S339" s="272"/>
      <c r="T339" s="359"/>
      <c r="V339" s="331" t="s">
        <v>161</v>
      </c>
      <c r="W339" s="331" t="s">
        <v>50</v>
      </c>
      <c r="X339" s="331" t="s">
        <v>153</v>
      </c>
      <c r="Y339" s="331" t="s">
        <v>86</v>
      </c>
      <c r="Z339" s="331" t="s">
        <v>161</v>
      </c>
      <c r="AA339" s="331" t="s">
        <v>50</v>
      </c>
      <c r="AB339" s="331" t="s">
        <v>153</v>
      </c>
      <c r="AC339" s="331" t="s">
        <v>86</v>
      </c>
      <c r="AD339" s="283"/>
      <c r="AE339" s="283"/>
      <c r="AF339" s="283"/>
      <c r="AG339" s="283"/>
      <c r="AH339" s="283"/>
      <c r="AI339" s="283"/>
      <c r="AJ339" s="283"/>
      <c r="AK339" s="283"/>
      <c r="AL339" s="283"/>
      <c r="AM339" s="283"/>
      <c r="AN339" s="283"/>
      <c r="AO339" s="283"/>
      <c r="AP339" s="283"/>
    </row>
    <row r="340" spans="2:42" s="267" customFormat="1" hidden="1" x14ac:dyDescent="0.2">
      <c r="C340" s="374"/>
      <c r="D340" s="374"/>
      <c r="E340" s="374"/>
      <c r="F340" s="374"/>
      <c r="G340" s="375"/>
      <c r="K340" s="307"/>
      <c r="L340" s="307"/>
      <c r="M340" s="307"/>
      <c r="N340" s="371">
        <f>G344*S360*(-1)</f>
        <v>0</v>
      </c>
      <c r="O340" s="371">
        <f>K342*R360*(-1)</f>
        <v>0</v>
      </c>
      <c r="P340" s="363">
        <f>O340-N340</f>
        <v>0</v>
      </c>
      <c r="Q340" s="363"/>
      <c r="R340" s="363">
        <f>P340*(1)+F310-10</f>
        <v>45</v>
      </c>
      <c r="S340" s="363"/>
      <c r="T340" s="364"/>
      <c r="V340" s="277">
        <v>-1.4999999999999999E-2</v>
      </c>
      <c r="W340" s="277">
        <v>0</v>
      </c>
      <c r="X340" s="277">
        <v>0</v>
      </c>
      <c r="Y340" s="277">
        <v>0.01</v>
      </c>
      <c r="Z340" s="277">
        <v>-2.5000000000000001E-2</v>
      </c>
      <c r="AA340" s="277">
        <v>-1.4999999999999999E-2</v>
      </c>
      <c r="AB340" s="277">
        <v>0</v>
      </c>
      <c r="AC340" s="277">
        <v>0</v>
      </c>
      <c r="AD340" s="283"/>
      <c r="AE340" s="283"/>
      <c r="AF340" s="283"/>
      <c r="AG340" s="283"/>
      <c r="AH340" s="283"/>
      <c r="AI340" s="283"/>
      <c r="AJ340" s="283"/>
      <c r="AK340" s="283"/>
      <c r="AL340" s="283"/>
      <c r="AM340" s="283"/>
      <c r="AN340" s="283"/>
      <c r="AO340" s="283"/>
      <c r="AP340" s="283"/>
    </row>
    <row r="341" spans="2:42" s="267" customFormat="1" hidden="1" x14ac:dyDescent="0.2">
      <c r="C341" s="374" t="s">
        <v>45</v>
      </c>
      <c r="D341" s="374"/>
      <c r="E341" s="374"/>
      <c r="F341" s="374"/>
      <c r="G341" s="375">
        <f>IF($F333=1,0,IF($F333=2,0,IF($F333=3,D314,IF($F333&gt;3,D314-F314))))</f>
        <v>448.56</v>
      </c>
      <c r="J341" s="376"/>
      <c r="K341" s="367" t="s">
        <v>53</v>
      </c>
      <c r="L341" s="377" t="s">
        <v>54</v>
      </c>
      <c r="M341" s="367" t="s">
        <v>2</v>
      </c>
      <c r="N341" s="368" t="s">
        <v>55</v>
      </c>
      <c r="O341" s="367" t="s">
        <v>56</v>
      </c>
      <c r="P341" s="267" t="s">
        <v>116</v>
      </c>
      <c r="Q341" s="368" t="s">
        <v>57</v>
      </c>
      <c r="R341" s="367" t="s">
        <v>58</v>
      </c>
      <c r="S341" s="368" t="s">
        <v>59</v>
      </c>
      <c r="T341" s="368"/>
      <c r="V341" s="277">
        <v>-1.4999999999999999E-2</v>
      </c>
      <c r="W341" s="277">
        <v>0</v>
      </c>
      <c r="X341" s="277">
        <v>0</v>
      </c>
      <c r="Y341" s="277">
        <v>0.01</v>
      </c>
      <c r="Z341" s="277">
        <v>-2.5000000000000001E-2</v>
      </c>
      <c r="AA341" s="277">
        <v>-1.4999999999999999E-2</v>
      </c>
      <c r="AB341" s="277">
        <v>0</v>
      </c>
      <c r="AC341" s="277">
        <v>0</v>
      </c>
      <c r="AD341" s="283"/>
      <c r="AE341" s="283"/>
      <c r="AF341" s="283"/>
      <c r="AG341" s="283"/>
      <c r="AH341" s="283"/>
      <c r="AI341" s="283"/>
      <c r="AJ341" s="283"/>
      <c r="AK341" s="283"/>
      <c r="AL341" s="283"/>
      <c r="AM341" s="283"/>
      <c r="AN341" s="283"/>
      <c r="AO341" s="283"/>
      <c r="AP341" s="283"/>
    </row>
    <row r="342" spans="2:42" s="267" customFormat="1" hidden="1" x14ac:dyDescent="0.2">
      <c r="C342" s="374"/>
      <c r="D342" s="374"/>
      <c r="E342" s="374"/>
      <c r="F342" s="374"/>
      <c r="G342" s="375"/>
      <c r="H342" s="268"/>
      <c r="J342" s="378"/>
      <c r="K342" s="307">
        <f>$D$313</f>
        <v>2255</v>
      </c>
      <c r="L342" s="369">
        <f>$N$316</f>
        <v>36</v>
      </c>
      <c r="M342" s="369">
        <f>$N$316</f>
        <v>36</v>
      </c>
      <c r="N342" s="370">
        <v>0</v>
      </c>
      <c r="O342" s="370">
        <v>0.17899999999999999</v>
      </c>
      <c r="P342" s="307">
        <f>K342*R360</f>
        <v>0</v>
      </c>
      <c r="Q342" s="372">
        <f>PMT(N342/12, M342,-K342)</f>
        <v>62.64</v>
      </c>
      <c r="R342" s="372">
        <f>PV(O342/12, M342, -Q342)</f>
        <v>1735.07</v>
      </c>
      <c r="S342" s="372">
        <f>R342-K342</f>
        <v>-519.92999999999995</v>
      </c>
      <c r="T342" s="373"/>
      <c r="V342" s="277">
        <v>-1.4999999999999999E-2</v>
      </c>
      <c r="W342" s="277">
        <v>0</v>
      </c>
      <c r="X342" s="277">
        <v>0</v>
      </c>
      <c r="Y342" s="277">
        <v>0.01</v>
      </c>
      <c r="Z342" s="277">
        <v>-2.5000000000000001E-2</v>
      </c>
      <c r="AA342" s="277">
        <v>-1.4999999999999999E-2</v>
      </c>
      <c r="AB342" s="277">
        <v>0</v>
      </c>
      <c r="AC342" s="277">
        <v>0</v>
      </c>
      <c r="AD342" s="283"/>
      <c r="AE342" s="283"/>
      <c r="AF342" s="283"/>
      <c r="AG342" s="283"/>
      <c r="AH342" s="283"/>
      <c r="AI342" s="283"/>
      <c r="AJ342" s="283"/>
      <c r="AK342" s="283"/>
      <c r="AL342" s="283"/>
      <c r="AM342" s="283"/>
      <c r="AN342" s="283"/>
      <c r="AO342" s="283"/>
      <c r="AP342" s="283"/>
    </row>
    <row r="343" spans="2:42" s="267" customFormat="1" hidden="1" x14ac:dyDescent="0.2">
      <c r="C343" s="272"/>
      <c r="D343" s="272"/>
      <c r="E343" s="272"/>
      <c r="F343" s="272"/>
      <c r="G343" s="272"/>
      <c r="H343" s="296"/>
      <c r="I343" s="268"/>
      <c r="J343" s="378"/>
      <c r="K343" s="307"/>
      <c r="L343" s="369"/>
      <c r="M343" s="369"/>
      <c r="N343" s="370"/>
      <c r="O343" s="370"/>
      <c r="P343" s="307"/>
      <c r="Q343" s="372"/>
      <c r="R343" s="372"/>
      <c r="S343" s="372"/>
      <c r="T343" s="373"/>
      <c r="V343" s="277">
        <f>IF(Y331&gt;6000,V342,IF(Y331&gt;3000,V341,IF(Y331&gt;499,V340,"Min $500")))</f>
        <v>-1.4999999999999999E-2</v>
      </c>
      <c r="W343" s="277">
        <f>IF(Y331&gt;6000,W342,IF(Y331&gt;3000,W341,IF(Y331&gt;499,W340,"Min $500")))</f>
        <v>0</v>
      </c>
      <c r="X343" s="277">
        <f>IF(Y331&gt;6000,X342,IF(Y331&gt;3000,X341,IF(Y331&gt;499,X340,"Min $500")))</f>
        <v>0</v>
      </c>
      <c r="Y343" s="277">
        <f>IF(Y331&gt;6000,Y342,IF(Y331&gt;3000,Y341,IF(Y331&gt;499,Y340,"Min $500")))</f>
        <v>0.01</v>
      </c>
      <c r="Z343" s="277">
        <f>IF(X331&gt;6000,Z342,IF(X331&gt;3000,Z341,IF(X331&gt;499,Z340,"Min $500")))</f>
        <v>-2.5000000000000001E-2</v>
      </c>
      <c r="AA343" s="277">
        <f>IF(Y331&gt;6000,AA342,IF(Y331&gt;3000,AA341,IF(Y331&gt;499,AA340,"Min $500")))</f>
        <v>-1.4999999999999999E-2</v>
      </c>
      <c r="AB343" s="277">
        <f>IF(Y331&gt;6000,AB342,IF(Y331&gt;3000,AB341,IF(Y331&gt;499,AB340,"Min $500")))</f>
        <v>0</v>
      </c>
      <c r="AC343" s="277">
        <f>IF(Y331&gt;6000,AC342,IF(Y331&gt;3000,AC341,IF(Y331&gt;499,AC340,"Min $500")))</f>
        <v>0</v>
      </c>
      <c r="AD343" s="283"/>
      <c r="AE343" s="283"/>
      <c r="AF343" s="283"/>
      <c r="AG343" s="283"/>
      <c r="AH343" s="283"/>
      <c r="AI343" s="283"/>
      <c r="AJ343" s="283"/>
      <c r="AK343" s="283"/>
      <c r="AL343" s="283"/>
      <c r="AM343" s="283"/>
      <c r="AN343" s="283"/>
      <c r="AO343" s="283"/>
      <c r="AP343" s="283"/>
    </row>
    <row r="344" spans="2:42" s="267" customFormat="1" hidden="1" x14ac:dyDescent="0.2">
      <c r="C344" s="374" t="s">
        <v>94</v>
      </c>
      <c r="D344" s="374"/>
      <c r="E344" s="374"/>
      <c r="F344" s="374"/>
      <c r="G344" s="375">
        <f>D307-D312</f>
        <v>2200</v>
      </c>
      <c r="H344" s="297"/>
      <c r="J344" s="378"/>
      <c r="AA344" s="283"/>
      <c r="AB344" s="283"/>
      <c r="AC344" s="283"/>
      <c r="AD344" s="283"/>
      <c r="AE344" s="283"/>
      <c r="AF344" s="283"/>
      <c r="AG344" s="283"/>
      <c r="AH344" s="283"/>
      <c r="AI344" s="283"/>
      <c r="AJ344" s="283"/>
      <c r="AK344" s="283"/>
      <c r="AL344" s="283"/>
      <c r="AM344" s="283"/>
      <c r="AN344" s="283"/>
      <c r="AO344" s="283"/>
      <c r="AP344" s="283"/>
    </row>
    <row r="345" spans="2:42" s="267" customFormat="1" hidden="1" x14ac:dyDescent="0.2">
      <c r="C345" s="374"/>
      <c r="D345" s="374"/>
      <c r="E345" s="374"/>
      <c r="F345" s="374"/>
      <c r="G345" s="375"/>
      <c r="H345" s="379"/>
      <c r="J345" s="378"/>
      <c r="K345" s="307" t="s">
        <v>164</v>
      </c>
      <c r="L345" s="307"/>
      <c r="M345" s="380" t="s">
        <v>165</v>
      </c>
      <c r="N345" s="307">
        <f>G34</f>
        <v>2200</v>
      </c>
      <c r="O345" s="307"/>
      <c r="P345" s="285" t="s">
        <v>163</v>
      </c>
      <c r="Q345" s="285"/>
      <c r="R345" s="307">
        <f>N345*K351</f>
        <v>55</v>
      </c>
      <c r="S345" s="307"/>
      <c r="T345" s="310"/>
      <c r="U345" s="310"/>
      <c r="V345" s="330" t="s">
        <v>88</v>
      </c>
      <c r="W345" s="330"/>
      <c r="X345" s="277">
        <f>IF(E333=6,V350,IF(E333=7,W350,IF(E333=8,X350)))</f>
        <v>-2.5000000000000001E-2</v>
      </c>
      <c r="AA345" s="381" t="s">
        <v>172</v>
      </c>
      <c r="AB345" s="277" t="b">
        <f>IF(E333=7,AA350,IF(E333=8,AB350))</f>
        <v>0</v>
      </c>
      <c r="AC345" s="283"/>
      <c r="AD345" s="283"/>
      <c r="AE345" s="283"/>
      <c r="AF345" s="283"/>
      <c r="AG345" s="283"/>
      <c r="AH345" s="283"/>
      <c r="AI345" s="283"/>
      <c r="AJ345" s="283"/>
      <c r="AK345" s="283"/>
      <c r="AL345" s="283"/>
      <c r="AM345" s="283"/>
      <c r="AN345" s="283"/>
      <c r="AO345" s="283"/>
      <c r="AP345" s="283"/>
    </row>
    <row r="346" spans="2:42" s="267" customFormat="1" hidden="1" x14ac:dyDescent="0.2">
      <c r="C346" s="374" t="str">
        <f>IF(G348&lt;0,"Retention % of Purchase Price - Deposit",IF(G348&gt;0,"Rebate % of Purchase Price - Deposit",IF(G348=0,"No Rebate or Retention")))</f>
        <v>No Rebate or Retention</v>
      </c>
      <c r="D346" s="374"/>
      <c r="E346" s="374"/>
      <c r="F346" s="374"/>
      <c r="G346" s="382">
        <f>G348/G344*1</f>
        <v>0</v>
      </c>
      <c r="H346" s="379"/>
      <c r="K346" s="307"/>
      <c r="L346" s="307"/>
      <c r="M346" s="380"/>
      <c r="N346" s="307"/>
      <c r="O346" s="307"/>
      <c r="P346" s="285"/>
      <c r="Q346" s="285"/>
      <c r="R346" s="307"/>
      <c r="S346" s="307"/>
      <c r="T346" s="286"/>
      <c r="U346" s="286"/>
      <c r="V346" s="331" t="s">
        <v>50</v>
      </c>
      <c r="W346" s="331" t="s">
        <v>153</v>
      </c>
      <c r="X346" s="331" t="s">
        <v>86</v>
      </c>
      <c r="AA346" s="331" t="s">
        <v>153</v>
      </c>
      <c r="AB346" s="331" t="s">
        <v>86</v>
      </c>
      <c r="AC346" s="383"/>
      <c r="AD346" s="383"/>
      <c r="AE346" s="383"/>
      <c r="AF346" s="383"/>
      <c r="AG346" s="383"/>
      <c r="AH346" s="383"/>
      <c r="AI346" s="383"/>
      <c r="AJ346" s="384"/>
      <c r="AK346" s="384"/>
      <c r="AL346" s="384"/>
      <c r="AM346" s="384"/>
      <c r="AN346" s="384"/>
      <c r="AO346" s="384"/>
      <c r="AP346" s="384"/>
    </row>
    <row r="347" spans="2:42" s="267" customFormat="1" hidden="1" x14ac:dyDescent="0.2">
      <c r="C347" s="374"/>
      <c r="D347" s="374"/>
      <c r="E347" s="374"/>
      <c r="F347" s="374"/>
      <c r="G347" s="382"/>
      <c r="H347" s="308"/>
      <c r="K347" s="303" t="s">
        <v>60</v>
      </c>
      <c r="L347" s="310" t="s">
        <v>46</v>
      </c>
      <c r="M347" s="310" t="s">
        <v>47</v>
      </c>
      <c r="N347" s="310" t="s">
        <v>48</v>
      </c>
      <c r="O347" s="310" t="s">
        <v>49</v>
      </c>
      <c r="P347" s="310" t="s">
        <v>161</v>
      </c>
      <c r="Q347" s="310" t="s">
        <v>50</v>
      </c>
      <c r="R347" s="310" t="s">
        <v>153</v>
      </c>
      <c r="S347" s="310" t="s">
        <v>86</v>
      </c>
      <c r="T347" s="286"/>
      <c r="U347" s="286"/>
      <c r="V347" s="277">
        <v>-2.5000000000000001E-2</v>
      </c>
      <c r="W347" s="277">
        <v>-1.4999999999999999E-2</v>
      </c>
      <c r="X347" s="277">
        <v>0</v>
      </c>
      <c r="AA347" s="277">
        <v>-2.5000000000000001E-2</v>
      </c>
      <c r="AB347" s="277">
        <v>-1.4999999999999999E-2</v>
      </c>
      <c r="AC347" s="135"/>
      <c r="AD347" s="295"/>
      <c r="AE347" s="295"/>
      <c r="AF347" s="295"/>
      <c r="AG347" s="365"/>
      <c r="AH347" s="385"/>
      <c r="AI347" s="135"/>
      <c r="AJ347" s="135"/>
      <c r="AK347" s="295"/>
      <c r="AL347" s="295"/>
      <c r="AM347" s="295"/>
      <c r="AN347" s="386"/>
      <c r="AO347" s="268"/>
      <c r="AP347" s="135"/>
    </row>
    <row r="348" spans="2:42" s="267" customFormat="1" hidden="1" x14ac:dyDescent="0.2">
      <c r="C348" s="387" t="str">
        <f>IF(G348&lt;0,"Retention amount to be deducted", IF(G348&gt;0,"Rebate amount to be added",IF(G348=0,"No Rebate or Retention")))</f>
        <v>No Rebate or Retention</v>
      </c>
      <c r="D348" s="387"/>
      <c r="E348" s="387"/>
      <c r="F348" s="387"/>
      <c r="G348" s="375">
        <f>IF(F333=1,R345,IF(F333=2,"$0.00",IF(F333=3,N340,IF(F333=4,N334,IF(F333&gt;4,N334)))))</f>
        <v>0</v>
      </c>
      <c r="H348" s="308"/>
      <c r="I348" s="297"/>
      <c r="J348" s="297"/>
      <c r="K348" s="292" t="s">
        <v>76</v>
      </c>
      <c r="L348" s="286">
        <v>5.0000000000000001E-3</v>
      </c>
      <c r="M348" s="286">
        <v>0.01</v>
      </c>
      <c r="N348" s="286">
        <v>1.4E-2</v>
      </c>
      <c r="O348" s="286">
        <v>1.7000000000000001E-2</v>
      </c>
      <c r="P348" s="286">
        <v>0.02</v>
      </c>
      <c r="Q348" s="286">
        <v>2.5000000000000001E-2</v>
      </c>
      <c r="R348" s="286">
        <v>0.03</v>
      </c>
      <c r="S348" s="286">
        <v>0.03</v>
      </c>
      <c r="T348" s="286"/>
      <c r="U348" s="286"/>
      <c r="V348" s="277">
        <v>-2.5000000000000001E-2</v>
      </c>
      <c r="W348" s="277">
        <v>-1.4999999999999999E-2</v>
      </c>
      <c r="X348" s="277">
        <v>0</v>
      </c>
      <c r="AA348" s="277">
        <v>-2.5000000000000001E-2</v>
      </c>
      <c r="AB348" s="277">
        <v>-1.4999999999999999E-2</v>
      </c>
      <c r="AC348" s="135"/>
      <c r="AD348" s="295"/>
      <c r="AE348" s="295"/>
      <c r="AF348" s="295"/>
      <c r="AG348" s="386"/>
      <c r="AH348" s="385"/>
      <c r="AI348" s="135"/>
      <c r="AJ348" s="135"/>
      <c r="AK348" s="295"/>
      <c r="AL348" s="295"/>
      <c r="AM348" s="295"/>
      <c r="AN348" s="386"/>
      <c r="AO348" s="268"/>
      <c r="AP348" s="135"/>
    </row>
    <row r="349" spans="2:42" s="267" customFormat="1" hidden="1" x14ac:dyDescent="0.2">
      <c r="C349" s="387"/>
      <c r="D349" s="387"/>
      <c r="E349" s="387"/>
      <c r="F349" s="387"/>
      <c r="G349" s="375"/>
      <c r="H349" s="313"/>
      <c r="I349" s="284"/>
      <c r="J349" s="284"/>
      <c r="K349" s="292" t="s">
        <v>77</v>
      </c>
      <c r="L349" s="286">
        <v>6.0000000000000001E-3</v>
      </c>
      <c r="M349" s="286">
        <v>0.01</v>
      </c>
      <c r="N349" s="286">
        <v>1.4500000000000001E-2</v>
      </c>
      <c r="O349" s="286">
        <v>1.7500000000000002E-2</v>
      </c>
      <c r="P349" s="286">
        <v>0.02</v>
      </c>
      <c r="Q349" s="286">
        <v>2.5499999999999998E-2</v>
      </c>
      <c r="R349" s="286">
        <v>0.03</v>
      </c>
      <c r="S349" s="286">
        <v>3.2500000000000001E-2</v>
      </c>
      <c r="T349" s="286"/>
      <c r="U349" s="286"/>
      <c r="V349" s="277">
        <v>-2.5000000000000001E-2</v>
      </c>
      <c r="W349" s="277">
        <v>-1.4999999999999999E-2</v>
      </c>
      <c r="X349" s="277">
        <v>0</v>
      </c>
      <c r="AA349" s="277">
        <v>-2.5000000000000001E-2</v>
      </c>
      <c r="AB349" s="277">
        <v>-1.4999999999999999E-2</v>
      </c>
      <c r="AC349" s="135"/>
      <c r="AD349" s="295"/>
      <c r="AE349" s="295"/>
      <c r="AF349" s="295"/>
      <c r="AG349" s="386"/>
      <c r="AH349" s="385"/>
      <c r="AI349" s="135"/>
      <c r="AJ349" s="135"/>
      <c r="AK349" s="283"/>
      <c r="AL349" s="295"/>
      <c r="AM349" s="295"/>
      <c r="AN349" s="386"/>
      <c r="AO349" s="268"/>
      <c r="AP349" s="135"/>
    </row>
    <row r="350" spans="2:42" s="267" customFormat="1" ht="13.5" hidden="1" customHeight="1" x14ac:dyDescent="0.2">
      <c r="C350" s="374" t="s">
        <v>65</v>
      </c>
      <c r="D350" s="374"/>
      <c r="E350" s="374"/>
      <c r="F350" s="374"/>
      <c r="G350" s="388">
        <f>G344+G348</f>
        <v>2200</v>
      </c>
      <c r="H350" s="340"/>
      <c r="I350" s="284"/>
      <c r="J350" s="284"/>
      <c r="K350" s="292" t="s">
        <v>78</v>
      </c>
      <c r="L350" s="286">
        <v>6.0000000000000001E-3</v>
      </c>
      <c r="M350" s="286">
        <v>1.0999999999999999E-2</v>
      </c>
      <c r="N350" s="286">
        <v>1.4999999999999999E-2</v>
      </c>
      <c r="O350" s="286">
        <v>1.7999999999999999E-2</v>
      </c>
      <c r="P350" s="286">
        <v>0.02</v>
      </c>
      <c r="Q350" s="286">
        <v>2.5999999999999999E-2</v>
      </c>
      <c r="R350" s="286">
        <v>0.03</v>
      </c>
      <c r="S350" s="286">
        <v>3.4000000000000002E-2</v>
      </c>
      <c r="V350" s="277">
        <f>IF(Y331&gt;6000,V349,IF(Y331&gt;3000,V348,IF(Y331&gt;499,V347,"Min $500")))</f>
        <v>-2.5000000000000001E-2</v>
      </c>
      <c r="W350" s="277">
        <f>IF(Y331&gt;6000,W349,IF(Y331&gt;3000,W348,IF(Y331&gt;499,W347,"Min $500")))</f>
        <v>-1.4999999999999999E-2</v>
      </c>
      <c r="X350" s="277">
        <f>IF(Y331&gt;6000,X349,IF(Y331&gt;3000,X348,IF(Y331&gt;499,X347,"Min $500")))</f>
        <v>0</v>
      </c>
      <c r="AA350" s="277">
        <f>IF(Y331&gt;12000,AA349,IF(Y331&gt;3000,AA348,IF(Y331&gt;499,AA347,"Min $500")))</f>
        <v>-2.5000000000000001E-2</v>
      </c>
      <c r="AB350" s="277">
        <f>IF(Y331&gt;6000,AB349,IF(Y331&gt;3000,AB348,IF(Y331&gt;499,AB347,"Min $500")))</f>
        <v>-1.4999999999999999E-2</v>
      </c>
      <c r="AC350" s="278"/>
      <c r="AD350" s="278"/>
      <c r="AE350" s="278"/>
      <c r="AF350" s="278"/>
      <c r="AG350" s="278"/>
      <c r="AH350" s="278"/>
      <c r="AI350" s="278"/>
      <c r="AJ350" s="278"/>
      <c r="AK350" s="278"/>
      <c r="AL350" s="278"/>
      <c r="AM350" s="278"/>
      <c r="AN350" s="278"/>
      <c r="AO350" s="278"/>
      <c r="AP350" s="278"/>
    </row>
    <row r="351" spans="2:42" s="267" customFormat="1" ht="13.5" hidden="1" customHeight="1" x14ac:dyDescent="0.2">
      <c r="C351" s="374"/>
      <c r="D351" s="374"/>
      <c r="E351" s="374"/>
      <c r="F351" s="374"/>
      <c r="G351" s="388"/>
      <c r="H351" s="308"/>
      <c r="I351" s="284"/>
      <c r="J351" s="284"/>
      <c r="K351" s="286">
        <f>IF(E333=1,L351,IF(E333=2,M351,IF(E333=3,N351,IF(E333=4,O351,IF(E333=5,P351,IF(E333=6,Q351,IF(E333=7,R351,IF(E333=8,S351))))))))</f>
        <v>2.5000000000000001E-2</v>
      </c>
      <c r="L351" s="286">
        <f>IF(N345&gt;6000,L350, IF(N345&gt;3000,L349, IF(N345&gt;499,L348, "Min $500")))</f>
        <v>5.0000000000000001E-3</v>
      </c>
      <c r="M351" s="286">
        <f>IF(N345&gt;6000,M350, IF(N345&gt;3000,M349, IF(N345&gt;499,M348, "Min $500")))</f>
        <v>0.01</v>
      </c>
      <c r="N351" s="286">
        <f>IF(N345&gt;6000,N350, IF(N345&gt;3000,N349, IF(N345&gt;499,N348, "Min $500")))</f>
        <v>1.4E-2</v>
      </c>
      <c r="O351" s="286">
        <f>IF(N345&gt;6000,O350, IF(N345&gt;3000,O349, IF(N345&gt;499,O348, "Min $500")))</f>
        <v>1.7000000000000001E-2</v>
      </c>
      <c r="P351" s="286">
        <f>IF(M345&gt;6000,P350, IF(M345&gt;3000,P349, IF(M345&gt;499,P348, "Min $500")))</f>
        <v>0.02</v>
      </c>
      <c r="Q351" s="286">
        <f>IF(N345&gt;6000,Q350, IF(N345&gt;3000,Q349, IF(N345&gt;499,Q348, "Min $500")))</f>
        <v>2.5000000000000001E-2</v>
      </c>
      <c r="R351" s="286">
        <f>IF(M345&gt;6000,R350, IF(M345&gt;3000,R349, IF(M345&gt;499,R348, "Min $500")))</f>
        <v>0.03</v>
      </c>
      <c r="S351" s="286">
        <f>IF(N345&gt;6000,S350, IF(N345&gt;3000,S349, IF(N345&gt;499,S348, "Min $500")))</f>
        <v>0.03</v>
      </c>
      <c r="AC351" s="384"/>
      <c r="AD351" s="384"/>
      <c r="AE351" s="384"/>
      <c r="AF351" s="384"/>
      <c r="AG351" s="384"/>
      <c r="AH351" s="384"/>
      <c r="AI351" s="384"/>
      <c r="AJ351" s="384"/>
      <c r="AK351" s="384"/>
      <c r="AL351" s="384"/>
      <c r="AM351" s="384"/>
      <c r="AN351" s="384"/>
      <c r="AO351" s="384"/>
      <c r="AP351" s="384"/>
    </row>
    <row r="352" spans="2:42" s="267" customFormat="1" ht="13.5" hidden="1" customHeight="1" x14ac:dyDescent="0.2">
      <c r="C352" s="283"/>
      <c r="D352" s="283"/>
      <c r="E352" s="283"/>
      <c r="F352" s="283"/>
      <c r="G352" s="283"/>
      <c r="H352" s="283"/>
      <c r="I352" s="283"/>
      <c r="J352" s="283"/>
      <c r="W352" s="381" t="s">
        <v>173</v>
      </c>
      <c r="X352" s="277" t="b">
        <f>IF(E333=7,W357,IF(E333=8,X357))</f>
        <v>0</v>
      </c>
      <c r="AA352" s="276" t="s">
        <v>87</v>
      </c>
      <c r="AB352" s="277" t="b">
        <f>IF(E333=8,AB357)</f>
        <v>0</v>
      </c>
      <c r="AC352" s="135"/>
      <c r="AD352" s="295"/>
      <c r="AE352" s="283"/>
      <c r="AF352" s="283"/>
      <c r="AG352" s="332"/>
      <c r="AH352" s="268"/>
      <c r="AI352" s="385"/>
      <c r="AJ352" s="135"/>
      <c r="AK352" s="295"/>
      <c r="AL352" s="295"/>
      <c r="AM352" s="295"/>
      <c r="AN352" s="365"/>
      <c r="AO352" s="268"/>
      <c r="AP352" s="135"/>
    </row>
    <row r="353" spans="3:42" s="267" customFormat="1" ht="13.5" hidden="1" customHeight="1" x14ac:dyDescent="0.2">
      <c r="C353" s="283"/>
      <c r="D353" s="283"/>
      <c r="E353" s="283"/>
      <c r="F353" s="283"/>
      <c r="G353" s="283"/>
      <c r="H353" s="283"/>
      <c r="I353" s="283"/>
      <c r="J353" s="283"/>
      <c r="K353" s="267" t="s">
        <v>100</v>
      </c>
      <c r="P353" s="389" t="s">
        <v>136</v>
      </c>
      <c r="Q353" s="389"/>
      <c r="R353" s="389"/>
      <c r="S353" s="389"/>
      <c r="W353" s="331" t="s">
        <v>153</v>
      </c>
      <c r="X353" s="331" t="s">
        <v>86</v>
      </c>
      <c r="AA353" s="331"/>
      <c r="AB353" s="331" t="s">
        <v>86</v>
      </c>
      <c r="AC353" s="135"/>
      <c r="AD353" s="295"/>
      <c r="AE353" s="295"/>
      <c r="AF353" s="295"/>
      <c r="AG353" s="390"/>
      <c r="AH353" s="268"/>
      <c r="AI353" s="135"/>
      <c r="AJ353" s="135"/>
      <c r="AK353" s="295"/>
      <c r="AL353" s="295"/>
      <c r="AM353" s="295"/>
      <c r="AN353" s="365"/>
      <c r="AO353" s="268"/>
      <c r="AP353" s="135"/>
    </row>
    <row r="354" spans="3:42" s="267" customFormat="1" ht="13.5" hidden="1" customHeight="1" x14ac:dyDescent="0.2">
      <c r="G354" s="303"/>
      <c r="H354" s="283"/>
      <c r="I354" s="283"/>
      <c r="J354" s="283"/>
      <c r="K354" s="271" t="s">
        <v>128</v>
      </c>
      <c r="N354" s="391">
        <v>1</v>
      </c>
      <c r="P354" s="392" t="s">
        <v>2</v>
      </c>
      <c r="Q354" s="392" t="s">
        <v>134</v>
      </c>
      <c r="R354" s="392" t="s">
        <v>135</v>
      </c>
      <c r="S354" s="392" t="s">
        <v>109</v>
      </c>
      <c r="T354" s="300"/>
      <c r="U354" s="300"/>
      <c r="W354" s="277">
        <v>-0.03</v>
      </c>
      <c r="X354" s="277">
        <v>-0.02</v>
      </c>
      <c r="Y354" s="393" t="s">
        <v>178</v>
      </c>
      <c r="AA354" s="277"/>
      <c r="AB354" s="277">
        <v>-2.5000000000000001E-2</v>
      </c>
      <c r="AC354" s="135"/>
      <c r="AD354" s="295"/>
      <c r="AE354" s="295"/>
      <c r="AF354" s="295"/>
      <c r="AG354" s="390"/>
      <c r="AH354" s="268"/>
      <c r="AI354" s="135"/>
      <c r="AJ354" s="135"/>
      <c r="AK354" s="295"/>
      <c r="AL354" s="295"/>
      <c r="AM354" s="295"/>
      <c r="AN354" s="365"/>
      <c r="AO354" s="268"/>
      <c r="AP354" s="135"/>
    </row>
    <row r="355" spans="3:42" s="267" customFormat="1" ht="12.75" hidden="1" customHeight="1" x14ac:dyDescent="0.2">
      <c r="G355" s="394"/>
      <c r="H355" s="283"/>
      <c r="I355" s="283"/>
      <c r="J355" s="283"/>
      <c r="K355" s="293" t="s">
        <v>127</v>
      </c>
      <c r="N355" s="391">
        <v>2</v>
      </c>
      <c r="P355" s="395" t="s">
        <v>70</v>
      </c>
      <c r="Q355" s="396">
        <v>3.5000000000000003E-2</v>
      </c>
      <c r="R355" s="396">
        <f>Q355+2.4%</f>
        <v>5.8999999999999997E-2</v>
      </c>
      <c r="S355" s="397">
        <f>R355+0.5%</f>
        <v>6.4000000000000001E-2</v>
      </c>
      <c r="T355" s="300"/>
      <c r="U355" s="300"/>
      <c r="W355" s="277">
        <v>-0.03</v>
      </c>
      <c r="X355" s="277">
        <v>-0.02</v>
      </c>
      <c r="Y355" s="393" t="s">
        <v>179</v>
      </c>
      <c r="AA355" s="277"/>
      <c r="AB355" s="277">
        <v>-3.5000000000000003E-2</v>
      </c>
      <c r="AC355" s="384"/>
      <c r="AD355" s="384"/>
      <c r="AE355" s="384"/>
      <c r="AF355" s="384"/>
      <c r="AG355" s="384"/>
      <c r="AH355" s="384"/>
      <c r="AI355" s="384"/>
      <c r="AJ355" s="285"/>
      <c r="AK355" s="285"/>
      <c r="AL355" s="285"/>
      <c r="AM355" s="285"/>
      <c r="AN355" s="285"/>
      <c r="AO355" s="285"/>
      <c r="AP355" s="285"/>
    </row>
    <row r="356" spans="3:42" s="267" customFormat="1" ht="12.75" hidden="1" customHeight="1" x14ac:dyDescent="0.2">
      <c r="G356" s="394"/>
      <c r="H356" s="283"/>
      <c r="I356" s="283"/>
      <c r="J356" s="283"/>
      <c r="K356" s="293" t="s">
        <v>126</v>
      </c>
      <c r="N356" s="391">
        <v>3</v>
      </c>
      <c r="P356" s="395" t="s">
        <v>71</v>
      </c>
      <c r="Q356" s="396">
        <v>7.2999999999999995E-2</v>
      </c>
      <c r="R356" s="396">
        <f t="shared" ref="R356:R359" si="1">Q356+2.4%</f>
        <v>9.7000000000000003E-2</v>
      </c>
      <c r="S356" s="397">
        <f t="shared" ref="S356:S359" si="2">R356+0.5%</f>
        <v>0.10199999999999999</v>
      </c>
      <c r="T356" s="300"/>
      <c r="U356" s="300"/>
      <c r="W356" s="277">
        <v>-4.4999999999999998E-2</v>
      </c>
      <c r="X356" s="277">
        <v>-0.02</v>
      </c>
      <c r="Y356" s="393" t="s">
        <v>180</v>
      </c>
      <c r="AA356" s="277"/>
      <c r="AB356" s="398">
        <v>-4.4999999999999998E-2</v>
      </c>
      <c r="AC356" s="135"/>
      <c r="AD356" s="283"/>
      <c r="AE356" s="295"/>
      <c r="AF356" s="295"/>
      <c r="AG356" s="386"/>
      <c r="AH356" s="268"/>
      <c r="AI356" s="135"/>
      <c r="AJ356" s="135"/>
      <c r="AK356" s="283"/>
      <c r="AL356" s="283"/>
      <c r="AM356" s="283"/>
      <c r="AN356" s="399"/>
      <c r="AO356" s="394"/>
      <c r="AP356" s="135"/>
    </row>
    <row r="357" spans="3:42" s="267" customFormat="1" ht="12.75" hidden="1" customHeight="1" x14ac:dyDescent="0.2">
      <c r="G357" s="394"/>
      <c r="H357" s="283"/>
      <c r="I357" s="283"/>
      <c r="J357" s="283"/>
      <c r="K357" s="293" t="s">
        <v>131</v>
      </c>
      <c r="N357" s="391">
        <v>4</v>
      </c>
      <c r="O357" s="400"/>
      <c r="P357" s="395" t="s">
        <v>72</v>
      </c>
      <c r="Q357" s="401">
        <v>9.0999999999999998E-2</v>
      </c>
      <c r="R357" s="396">
        <f t="shared" si="1"/>
        <v>0.115</v>
      </c>
      <c r="S357" s="397">
        <f t="shared" si="2"/>
        <v>0.12</v>
      </c>
      <c r="T357" s="300"/>
      <c r="U357" s="300"/>
      <c r="W357" s="277">
        <f>IF(Y331&gt;12000,W356,IF(Y331&gt;3000,W355,IF(Y331&gt;499,W354,"Min $500")))</f>
        <v>-0.03</v>
      </c>
      <c r="X357" s="277">
        <f>IF(Y331&gt;12000,X356, IF(Y331&gt;6000,X355, IF(Y331&gt;499,X354, "Min $500")))</f>
        <v>-0.02</v>
      </c>
      <c r="AA357" s="277"/>
      <c r="AB357" s="398">
        <f>IF(Y331&gt;12000,AB356, IF(Y331&gt;6000,AB355, IF(Y331&gt;499,AB354, "Min $500")))</f>
        <v>-2.5000000000000001E-2</v>
      </c>
      <c r="AC357" s="135"/>
      <c r="AD357" s="283"/>
      <c r="AE357" s="295"/>
      <c r="AF357" s="295"/>
      <c r="AG357" s="386"/>
      <c r="AH357" s="268"/>
      <c r="AI357" s="135"/>
      <c r="AJ357" s="135"/>
      <c r="AK357" s="295"/>
      <c r="AL357" s="283"/>
      <c r="AM357" s="283"/>
      <c r="AN357" s="294"/>
      <c r="AO357" s="268"/>
      <c r="AP357" s="135"/>
    </row>
    <row r="358" spans="3:42" s="267" customFormat="1" ht="13.5" hidden="1" customHeight="1" x14ac:dyDescent="0.2">
      <c r="G358" s="394"/>
      <c r="H358" s="283"/>
      <c r="I358" s="283"/>
      <c r="J358" s="283"/>
      <c r="K358" s="287" t="s">
        <v>132</v>
      </c>
      <c r="L358" s="287"/>
      <c r="M358" s="287"/>
      <c r="N358" s="402">
        <v>5</v>
      </c>
      <c r="P358" s="395" t="s">
        <v>73</v>
      </c>
      <c r="Q358" s="403">
        <v>0.13</v>
      </c>
      <c r="R358" s="396">
        <f t="shared" si="1"/>
        <v>0.154</v>
      </c>
      <c r="S358" s="397">
        <f t="shared" si="2"/>
        <v>0.159</v>
      </c>
      <c r="T358" s="300"/>
      <c r="U358" s="300"/>
      <c r="AC358" s="135"/>
      <c r="AD358" s="283"/>
      <c r="AE358" s="283"/>
      <c r="AF358" s="283"/>
      <c r="AG358" s="290"/>
      <c r="AH358" s="268"/>
      <c r="AI358" s="135"/>
      <c r="AJ358" s="135"/>
      <c r="AK358" s="283"/>
      <c r="AL358" s="283"/>
      <c r="AM358" s="283"/>
      <c r="AN358" s="399"/>
      <c r="AO358" s="394"/>
      <c r="AP358" s="135"/>
    </row>
    <row r="359" spans="3:42" s="267" customFormat="1" ht="13.5" hidden="1" customHeight="1" x14ac:dyDescent="0.2">
      <c r="G359" s="394"/>
      <c r="H359" s="283"/>
      <c r="I359" s="283"/>
      <c r="J359" s="283"/>
      <c r="K359" s="287" t="s">
        <v>125</v>
      </c>
      <c r="L359" s="287"/>
      <c r="M359" s="287"/>
      <c r="N359" s="391">
        <v>6</v>
      </c>
      <c r="P359" s="395" t="s">
        <v>74</v>
      </c>
      <c r="Q359" s="403">
        <v>0.18</v>
      </c>
      <c r="R359" s="396">
        <f t="shared" si="1"/>
        <v>0.20399999999999999</v>
      </c>
      <c r="S359" s="397">
        <f t="shared" si="2"/>
        <v>0.20899999999999999</v>
      </c>
      <c r="T359" s="300"/>
      <c r="U359" s="300"/>
      <c r="W359" s="277"/>
      <c r="X359" s="277"/>
      <c r="Y359" s="277"/>
      <c r="Z359" s="300"/>
      <c r="AC359" s="135"/>
      <c r="AD359" s="283"/>
      <c r="AE359" s="283"/>
      <c r="AF359" s="283"/>
      <c r="AG359" s="290"/>
      <c r="AH359" s="268"/>
      <c r="AI359" s="135"/>
      <c r="AJ359" s="135"/>
      <c r="AK359" s="283"/>
      <c r="AL359" s="283"/>
      <c r="AM359" s="283"/>
      <c r="AN359" s="399"/>
      <c r="AO359" s="394"/>
      <c r="AP359" s="135"/>
    </row>
    <row r="360" spans="3:42" s="267" customFormat="1" ht="13.5" hidden="1" customHeight="1" x14ac:dyDescent="0.2">
      <c r="G360" s="394"/>
      <c r="H360" s="283"/>
      <c r="I360" s="283"/>
      <c r="J360" s="283"/>
      <c r="K360" s="287" t="s">
        <v>124</v>
      </c>
      <c r="L360" s="287"/>
      <c r="M360" s="287"/>
      <c r="N360" s="391">
        <v>7</v>
      </c>
      <c r="P360" s="392" t="s">
        <v>108</v>
      </c>
      <c r="Q360" s="397">
        <f>IF(D333=1,Q355,IF(D333=2,Q356,IF(D333=3,Q357,IF(D333=4,Q358,IF(D333=5,Q359)))))</f>
        <v>3.5000000000000003E-2</v>
      </c>
      <c r="R360" s="397" t="b">
        <f>IF(E333=1,R355,IF(E333=2,R356,IF(E333=3,R357,IF(E333=4,R358,IF(E333=5,R359)))))</f>
        <v>0</v>
      </c>
      <c r="S360" s="397" t="b">
        <f>IF(E333=1,S355,IF(E333=2,S356,IF(E333=3,S357,IF(E333=4,S358,IF(E333=5,S359)))))</f>
        <v>0</v>
      </c>
      <c r="T360" s="300"/>
      <c r="U360" s="300"/>
      <c r="W360" s="277"/>
      <c r="X360" s="277"/>
      <c r="Y360" s="277"/>
      <c r="Z360" s="300"/>
      <c r="AC360" s="135"/>
      <c r="AD360" s="283"/>
      <c r="AE360" s="283"/>
      <c r="AF360" s="283"/>
      <c r="AG360" s="290"/>
      <c r="AH360" s="268"/>
      <c r="AI360" s="135"/>
      <c r="AJ360" s="135"/>
      <c r="AK360" s="283"/>
      <c r="AL360" s="283"/>
      <c r="AM360" s="283"/>
      <c r="AN360" s="399"/>
      <c r="AO360" s="394"/>
      <c r="AP360" s="135"/>
    </row>
    <row r="361" spans="3:42" s="267" customFormat="1" ht="13.5" hidden="1" customHeight="1" x14ac:dyDescent="0.2">
      <c r="G361" s="394"/>
      <c r="H361" s="283"/>
      <c r="I361" s="283"/>
      <c r="J361" s="283"/>
      <c r="K361" s="287" t="s">
        <v>123</v>
      </c>
      <c r="L361" s="287"/>
      <c r="M361" s="287"/>
      <c r="N361" s="391">
        <v>8</v>
      </c>
      <c r="S361" s="300"/>
      <c r="T361" s="300"/>
      <c r="U361" s="300"/>
      <c r="W361" s="277"/>
      <c r="X361" s="277"/>
      <c r="Y361" s="277"/>
      <c r="Z361" s="300"/>
      <c r="AC361" s="135"/>
      <c r="AD361" s="283"/>
      <c r="AE361" s="283"/>
      <c r="AF361" s="283"/>
      <c r="AG361" s="290"/>
      <c r="AH361" s="268"/>
      <c r="AI361" s="135"/>
      <c r="AJ361" s="135"/>
      <c r="AK361" s="283"/>
      <c r="AL361" s="283"/>
      <c r="AM361" s="283"/>
      <c r="AN361" s="399"/>
      <c r="AO361" s="394"/>
      <c r="AP361" s="135"/>
    </row>
    <row r="362" spans="3:42" s="267" customFormat="1" ht="13.5" hidden="1" customHeight="1" x14ac:dyDescent="0.2">
      <c r="G362" s="394"/>
      <c r="H362" s="283"/>
      <c r="I362" s="283"/>
      <c r="J362" s="283"/>
      <c r="K362" s="271" t="s">
        <v>122</v>
      </c>
      <c r="L362" s="135"/>
      <c r="M362" s="135"/>
      <c r="N362" s="402">
        <v>9</v>
      </c>
      <c r="S362" s="300"/>
      <c r="T362" s="300"/>
      <c r="U362" s="300"/>
      <c r="W362" s="277"/>
      <c r="X362" s="277"/>
      <c r="Y362" s="277"/>
      <c r="Z362" s="300"/>
      <c r="AC362" s="135"/>
      <c r="AD362" s="283"/>
      <c r="AE362" s="283"/>
      <c r="AF362" s="283"/>
      <c r="AG362" s="290"/>
      <c r="AH362" s="268"/>
      <c r="AI362" s="135"/>
      <c r="AJ362" s="135"/>
      <c r="AK362" s="283"/>
      <c r="AL362" s="283"/>
      <c r="AM362" s="283"/>
      <c r="AN362" s="399"/>
      <c r="AO362" s="394"/>
      <c r="AP362" s="135"/>
    </row>
    <row r="363" spans="3:42" s="267" customFormat="1" ht="13.5" hidden="1" customHeight="1" x14ac:dyDescent="0.2">
      <c r="G363" s="394"/>
      <c r="H363" s="283"/>
      <c r="I363" s="283"/>
      <c r="J363" s="283"/>
      <c r="K363" s="318">
        <v>4</v>
      </c>
      <c r="L363" s="404" t="s">
        <v>99</v>
      </c>
      <c r="M363" s="135"/>
      <c r="N363" s="135"/>
      <c r="S363" s="300"/>
      <c r="T363" s="300"/>
      <c r="U363" s="300"/>
      <c r="W363" s="277"/>
      <c r="X363" s="277"/>
      <c r="Y363" s="277"/>
      <c r="Z363" s="300"/>
      <c r="AC363" s="135"/>
      <c r="AD363" s="283"/>
      <c r="AE363" s="283"/>
      <c r="AF363" s="283"/>
      <c r="AG363" s="290"/>
      <c r="AH363" s="268"/>
      <c r="AI363" s="135"/>
      <c r="AJ363" s="135"/>
      <c r="AK363" s="283"/>
      <c r="AL363" s="283"/>
      <c r="AM363" s="283"/>
      <c r="AN363" s="399"/>
      <c r="AO363" s="394"/>
      <c r="AP363" s="135"/>
    </row>
    <row r="364" spans="3:42" s="267" customFormat="1" ht="13.5" hidden="1" customHeight="1" x14ac:dyDescent="0.2">
      <c r="G364" s="394"/>
      <c r="H364" s="283"/>
      <c r="I364" s="283"/>
      <c r="J364" s="283"/>
      <c r="N364" s="405"/>
      <c r="S364" s="300"/>
      <c r="T364" s="300"/>
      <c r="U364" s="300"/>
      <c r="W364" s="277"/>
      <c r="X364" s="277"/>
      <c r="Y364" s="277"/>
      <c r="Z364" s="300"/>
      <c r="AC364" s="135"/>
      <c r="AD364" s="283"/>
      <c r="AE364" s="283"/>
      <c r="AF364" s="283"/>
      <c r="AG364" s="290"/>
      <c r="AH364" s="268"/>
      <c r="AI364" s="135"/>
      <c r="AJ364" s="135"/>
      <c r="AK364" s="283"/>
      <c r="AL364" s="283"/>
      <c r="AM364" s="283"/>
      <c r="AN364" s="399"/>
      <c r="AO364" s="394"/>
      <c r="AP364" s="135"/>
    </row>
    <row r="365" spans="3:42" s="264" customFormat="1" ht="13.5" hidden="1" customHeight="1" x14ac:dyDescent="0.2">
      <c r="G365" s="406"/>
      <c r="H365" s="407"/>
      <c r="I365" s="407"/>
      <c r="J365" s="407"/>
      <c r="M365" s="266"/>
      <c r="N365" s="408"/>
      <c r="O365" s="263"/>
      <c r="Q365" s="263"/>
      <c r="R365" s="263"/>
      <c r="S365" s="409"/>
      <c r="T365" s="410"/>
      <c r="U365" s="410"/>
      <c r="W365" s="411"/>
      <c r="X365" s="411"/>
      <c r="Y365" s="411"/>
      <c r="Z365" s="412"/>
      <c r="AC365" s="413"/>
      <c r="AD365" s="414"/>
      <c r="AE365" s="414"/>
      <c r="AF365" s="414"/>
      <c r="AG365" s="415"/>
      <c r="AH365" s="416"/>
      <c r="AI365" s="413"/>
      <c r="AJ365" s="413"/>
      <c r="AK365" s="414"/>
      <c r="AL365" s="414"/>
      <c r="AM365" s="414"/>
      <c r="AN365" s="417"/>
      <c r="AO365" s="418"/>
      <c r="AP365" s="413"/>
    </row>
    <row r="366" spans="3:42" s="264" customFormat="1" ht="13.5" hidden="1" customHeight="1" x14ac:dyDescent="0.2">
      <c r="C366" s="407"/>
      <c r="D366" s="407"/>
      <c r="E366" s="407"/>
      <c r="F366" s="407"/>
      <c r="G366" s="407"/>
      <c r="H366" s="407"/>
      <c r="I366" s="407"/>
      <c r="J366" s="407"/>
      <c r="M366" s="266"/>
      <c r="N366" s="408"/>
      <c r="O366" s="263"/>
      <c r="Q366" s="263"/>
      <c r="R366" s="263"/>
      <c r="S366" s="409"/>
      <c r="T366" s="410"/>
      <c r="U366" s="410"/>
      <c r="W366" s="411"/>
      <c r="X366" s="411"/>
      <c r="Y366" s="411"/>
      <c r="Z366" s="412"/>
      <c r="AC366" s="413"/>
      <c r="AD366" s="414"/>
      <c r="AE366" s="414"/>
      <c r="AF366" s="414"/>
      <c r="AG366" s="415"/>
      <c r="AH366" s="416"/>
      <c r="AI366" s="413"/>
      <c r="AJ366" s="413"/>
      <c r="AK366" s="414"/>
      <c r="AL366" s="414"/>
      <c r="AM366" s="414"/>
      <c r="AN366" s="417"/>
      <c r="AO366" s="418"/>
      <c r="AP366" s="413"/>
    </row>
    <row r="367" spans="3:42" s="264" customFormat="1" ht="15" hidden="1" customHeight="1" x14ac:dyDescent="0.2">
      <c r="C367" s="407"/>
      <c r="D367" s="407"/>
      <c r="E367" s="407"/>
      <c r="F367" s="407"/>
      <c r="G367" s="407"/>
      <c r="H367" s="407"/>
      <c r="I367" s="407"/>
      <c r="J367" s="407"/>
      <c r="M367" s="266"/>
      <c r="N367" s="266"/>
      <c r="O367" s="263"/>
      <c r="Q367" s="263"/>
      <c r="R367" s="263"/>
      <c r="S367" s="414"/>
      <c r="T367" s="419"/>
      <c r="U367" s="419"/>
      <c r="V367" s="420"/>
      <c r="AC367" s="421"/>
      <c r="AD367" s="421"/>
      <c r="AE367" s="421"/>
      <c r="AF367" s="421"/>
      <c r="AG367" s="421"/>
      <c r="AH367" s="421"/>
      <c r="AI367" s="421"/>
      <c r="AJ367" s="421"/>
      <c r="AK367" s="421"/>
      <c r="AL367" s="421"/>
      <c r="AM367" s="421"/>
      <c r="AN367" s="421"/>
      <c r="AO367" s="421"/>
      <c r="AP367" s="421"/>
    </row>
    <row r="368" spans="3:42" s="264" customFormat="1" ht="12.75" hidden="1" customHeight="1" x14ac:dyDescent="0.2">
      <c r="C368" s="407"/>
      <c r="D368" s="407"/>
      <c r="E368" s="407"/>
      <c r="F368" s="407"/>
      <c r="G368" s="407"/>
      <c r="H368" s="407"/>
      <c r="I368" s="407"/>
      <c r="J368" s="407"/>
      <c r="M368" s="266"/>
      <c r="N368" s="266"/>
      <c r="O368" s="400"/>
      <c r="Q368" s="263"/>
      <c r="R368" s="263"/>
      <c r="S368" s="414"/>
      <c r="T368" s="419"/>
      <c r="U368" s="419"/>
      <c r="V368" s="420"/>
      <c r="AC368" s="413"/>
      <c r="AD368" s="414"/>
      <c r="AE368" s="422"/>
      <c r="AF368" s="422"/>
      <c r="AG368" s="423"/>
      <c r="AH368" s="424"/>
      <c r="AI368" s="413"/>
      <c r="AJ368" s="425"/>
      <c r="AK368" s="422"/>
      <c r="AL368" s="414"/>
      <c r="AM368" s="414"/>
      <c r="AN368" s="426"/>
      <c r="AO368" s="418"/>
      <c r="AP368" s="414"/>
    </row>
    <row r="369" spans="2:47" s="264" customFormat="1" ht="12.75" hidden="1" customHeight="1" x14ac:dyDescent="0.2">
      <c r="C369" s="407"/>
      <c r="D369" s="407"/>
      <c r="E369" s="407"/>
      <c r="F369" s="407"/>
      <c r="G369" s="407"/>
      <c r="H369" s="407"/>
      <c r="I369" s="407"/>
      <c r="J369" s="407"/>
      <c r="M369" s="266"/>
      <c r="N369" s="427"/>
      <c r="O369" s="428"/>
      <c r="Q369" s="263"/>
      <c r="R369" s="263"/>
      <c r="S369" s="414"/>
      <c r="T369" s="419"/>
      <c r="U369" s="419"/>
      <c r="AC369" s="413"/>
      <c r="AD369" s="422"/>
      <c r="AE369" s="422"/>
      <c r="AF369" s="422"/>
      <c r="AG369" s="423"/>
      <c r="AH369" s="416"/>
      <c r="AI369" s="413"/>
      <c r="AJ369" s="425"/>
      <c r="AK369" s="422"/>
      <c r="AL369" s="422"/>
      <c r="AM369" s="422"/>
      <c r="AN369" s="429"/>
      <c r="AO369" s="424"/>
      <c r="AP369" s="413"/>
    </row>
    <row r="370" spans="2:47" s="264" customFormat="1" ht="12.75" hidden="1" customHeight="1" x14ac:dyDescent="0.2">
      <c r="H370" s="263"/>
      <c r="O370" s="263"/>
      <c r="Q370" s="263"/>
      <c r="R370" s="263"/>
      <c r="S370" s="414"/>
      <c r="T370" s="419"/>
      <c r="U370" s="419"/>
      <c r="V370" s="407"/>
      <c r="Y370" s="407"/>
      <c r="Z370" s="407"/>
      <c r="AC370" s="413"/>
      <c r="AD370" s="414"/>
      <c r="AE370" s="422"/>
      <c r="AF370" s="422"/>
      <c r="AG370" s="423"/>
      <c r="AH370" s="424"/>
      <c r="AI370" s="422"/>
      <c r="AJ370" s="425"/>
      <c r="AK370" s="414"/>
      <c r="AL370" s="422"/>
      <c r="AM370" s="422"/>
      <c r="AN370" s="430"/>
      <c r="AO370" s="424"/>
      <c r="AP370" s="413"/>
    </row>
    <row r="371" spans="2:47" s="264" customFormat="1" ht="12.75" hidden="1" customHeight="1" x14ac:dyDescent="0.2">
      <c r="H371" s="263"/>
      <c r="Q371" s="263"/>
      <c r="R371" s="263"/>
      <c r="S371" s="414"/>
      <c r="T371" s="419"/>
      <c r="U371" s="419"/>
      <c r="V371" s="407"/>
      <c r="W371" s="407"/>
      <c r="X371" s="407"/>
      <c r="Y371" s="407"/>
      <c r="Z371" s="407"/>
      <c r="AA371" s="266"/>
      <c r="AB371" s="266"/>
      <c r="AC371" s="431"/>
      <c r="AD371" s="431"/>
      <c r="AE371" s="431"/>
      <c r="AF371" s="431"/>
      <c r="AG371" s="431"/>
      <c r="AH371" s="431"/>
      <c r="AI371" s="431"/>
      <c r="AJ371" s="431"/>
      <c r="AK371" s="431"/>
      <c r="AL371" s="431"/>
      <c r="AM371" s="431"/>
      <c r="AN371" s="431"/>
      <c r="AO371" s="431"/>
      <c r="AP371" s="431"/>
    </row>
    <row r="372" spans="2:47" s="264" customFormat="1" ht="13.5" hidden="1" customHeight="1" x14ac:dyDescent="0.2">
      <c r="H372" s="263"/>
      <c r="S372" s="419"/>
      <c r="T372" s="419"/>
      <c r="U372" s="419"/>
      <c r="V372" s="407"/>
      <c r="W372" s="407"/>
      <c r="X372" s="407"/>
      <c r="Y372" s="407"/>
      <c r="Z372" s="407"/>
      <c r="AA372" s="266"/>
      <c r="AB372" s="266"/>
      <c r="AC372" s="421"/>
      <c r="AD372" s="421"/>
      <c r="AE372" s="421"/>
      <c r="AF372" s="421"/>
      <c r="AG372" s="421"/>
      <c r="AH372" s="421"/>
      <c r="AI372" s="421"/>
      <c r="AJ372" s="421"/>
      <c r="AK372" s="421"/>
      <c r="AL372" s="421"/>
      <c r="AM372" s="421"/>
      <c r="AN372" s="421"/>
      <c r="AO372" s="421"/>
      <c r="AP372" s="421"/>
      <c r="AU372" s="264" t="s">
        <v>106</v>
      </c>
    </row>
    <row r="373" spans="2:47" s="264" customFormat="1" hidden="1" x14ac:dyDescent="0.2">
      <c r="H373" s="263"/>
      <c r="K373" s="407"/>
      <c r="L373" s="407"/>
      <c r="M373" s="407"/>
      <c r="N373" s="407"/>
      <c r="O373" s="407"/>
      <c r="P373" s="407"/>
      <c r="Q373" s="407"/>
      <c r="S373" s="419"/>
      <c r="T373" s="419"/>
      <c r="U373" s="419"/>
      <c r="V373" s="407"/>
      <c r="W373" s="407"/>
      <c r="X373" s="407"/>
      <c r="Y373" s="407"/>
      <c r="Z373" s="407"/>
      <c r="AA373" s="266"/>
      <c r="AB373" s="266"/>
      <c r="AC373" s="413"/>
      <c r="AD373" s="414"/>
      <c r="AE373" s="414"/>
      <c r="AF373" s="414"/>
      <c r="AG373" s="432"/>
      <c r="AH373" s="416"/>
      <c r="AI373" s="414"/>
      <c r="AJ373" s="413"/>
      <c r="AK373" s="422"/>
      <c r="AL373" s="422"/>
      <c r="AM373" s="422"/>
      <c r="AN373" s="429"/>
      <c r="AO373" s="416"/>
      <c r="AP373" s="413"/>
    </row>
    <row r="374" spans="2:47" s="262" customFormat="1" hidden="1" x14ac:dyDescent="0.2">
      <c r="H374" s="433"/>
      <c r="I374" s="433"/>
      <c r="J374" s="433"/>
      <c r="O374" s="407"/>
      <c r="P374" s="407"/>
      <c r="Q374" s="407"/>
      <c r="S374" s="419"/>
      <c r="T374" s="419"/>
      <c r="U374" s="419"/>
      <c r="V374" s="407"/>
      <c r="W374" s="407"/>
      <c r="X374" s="407"/>
      <c r="Y374" s="407"/>
      <c r="Z374" s="407"/>
      <c r="AA374" s="413"/>
      <c r="AB374" s="413"/>
      <c r="AC374" s="413"/>
      <c r="AD374" s="422"/>
      <c r="AE374" s="422"/>
      <c r="AF374" s="422"/>
      <c r="AG374" s="434"/>
      <c r="AH374" s="416"/>
      <c r="AI374" s="413"/>
      <c r="AJ374" s="413"/>
      <c r="AK374" s="422"/>
      <c r="AL374" s="422"/>
      <c r="AM374" s="422"/>
      <c r="AN374" s="429"/>
      <c r="AO374" s="416"/>
      <c r="AP374" s="413"/>
    </row>
    <row r="375" spans="2:47" s="262" customFormat="1" hidden="1" x14ac:dyDescent="0.2">
      <c r="B375" s="424"/>
      <c r="G375" s="424"/>
      <c r="H375" s="424"/>
      <c r="I375" s="424"/>
      <c r="J375" s="424"/>
      <c r="O375" s="435"/>
      <c r="P375" s="435"/>
      <c r="S375" s="436"/>
      <c r="T375" s="436"/>
      <c r="U375" s="436"/>
      <c r="V375" s="407"/>
      <c r="W375" s="407"/>
      <c r="X375" s="407"/>
      <c r="Y375" s="407"/>
      <c r="Z375" s="407"/>
      <c r="AA375" s="413"/>
      <c r="AB375" s="413"/>
      <c r="AC375" s="266"/>
      <c r="AD375" s="414"/>
      <c r="AE375" s="414"/>
      <c r="AF375" s="414"/>
      <c r="AG375" s="434"/>
      <c r="AH375" s="416"/>
      <c r="AI375" s="266"/>
      <c r="AJ375" s="413"/>
      <c r="AK375" s="422"/>
      <c r="AL375" s="422"/>
      <c r="AM375" s="422"/>
      <c r="AN375" s="429"/>
      <c r="AO375" s="416"/>
      <c r="AP375" s="413"/>
    </row>
    <row r="376" spans="2:47" s="262" customFormat="1" hidden="1" x14ac:dyDescent="0.2">
      <c r="B376" s="424"/>
      <c r="G376" s="424"/>
      <c r="H376" s="424"/>
      <c r="I376" s="424"/>
      <c r="J376" s="424"/>
      <c r="O376" s="435"/>
      <c r="P376" s="435"/>
      <c r="S376" s="436"/>
      <c r="T376" s="436"/>
      <c r="U376" s="436"/>
      <c r="V376" s="407"/>
      <c r="W376" s="407"/>
      <c r="X376" s="407"/>
      <c r="Y376" s="407"/>
      <c r="Z376" s="407"/>
      <c r="AA376" s="413"/>
      <c r="AB376" s="413"/>
      <c r="AC376" s="421"/>
      <c r="AD376" s="421"/>
      <c r="AE376" s="421"/>
      <c r="AF376" s="421"/>
      <c r="AG376" s="421"/>
      <c r="AH376" s="421"/>
      <c r="AI376" s="421"/>
      <c r="AJ376" s="437"/>
      <c r="AK376" s="437"/>
      <c r="AL376" s="437"/>
      <c r="AM376" s="437"/>
      <c r="AN376" s="437"/>
      <c r="AO376" s="437"/>
      <c r="AP376" s="437"/>
    </row>
    <row r="377" spans="2:47" s="262" customFormat="1" hidden="1" x14ac:dyDescent="0.2">
      <c r="B377" s="424"/>
      <c r="G377" s="424"/>
      <c r="H377" s="424"/>
      <c r="I377" s="424"/>
      <c r="J377" s="424"/>
      <c r="O377" s="435"/>
      <c r="P377" s="435"/>
      <c r="S377" s="436"/>
      <c r="T377" s="436"/>
      <c r="U377" s="436"/>
      <c r="V377" s="407"/>
      <c r="W377" s="407"/>
      <c r="X377" s="407"/>
      <c r="Y377" s="407"/>
      <c r="Z377" s="407"/>
      <c r="AA377" s="413"/>
      <c r="AB377" s="413"/>
      <c r="AC377" s="413"/>
      <c r="AD377" s="422"/>
      <c r="AE377" s="422"/>
      <c r="AF377" s="422"/>
      <c r="AG377" s="429"/>
      <c r="AH377" s="416"/>
      <c r="AI377" s="413"/>
      <c r="AJ377" s="413"/>
      <c r="AK377" s="422"/>
      <c r="AL377" s="422"/>
      <c r="AM377" s="422"/>
      <c r="AN377" s="423"/>
      <c r="AO377" s="418"/>
      <c r="AP377" s="413"/>
    </row>
    <row r="378" spans="2:47" s="266" customFormat="1" hidden="1" x14ac:dyDescent="0.2">
      <c r="B378" s="416"/>
      <c r="H378" s="416"/>
      <c r="I378" s="416"/>
      <c r="J378" s="416"/>
      <c r="O378" s="435"/>
      <c r="P378" s="435"/>
      <c r="Q378" s="407"/>
      <c r="R378" s="407"/>
      <c r="S378" s="407"/>
      <c r="T378" s="407"/>
      <c r="U378" s="407"/>
      <c r="V378" s="407"/>
      <c r="W378" s="407"/>
      <c r="X378" s="407"/>
      <c r="Y378" s="407"/>
      <c r="Z378" s="407"/>
      <c r="AC378" s="413"/>
      <c r="AD378" s="422"/>
      <c r="AE378" s="422"/>
      <c r="AF378" s="422"/>
      <c r="AG378" s="429"/>
      <c r="AH378" s="416"/>
      <c r="AI378" s="413"/>
      <c r="AJ378" s="413"/>
      <c r="AK378" s="422"/>
      <c r="AL378" s="422"/>
      <c r="AM378" s="422"/>
      <c r="AN378" s="429"/>
      <c r="AO378" s="416"/>
      <c r="AP378" s="413"/>
    </row>
    <row r="379" spans="2:47" s="266" customFormat="1" hidden="1" x14ac:dyDescent="0.2">
      <c r="B379" s="416"/>
      <c r="H379" s="416"/>
      <c r="I379" s="416"/>
      <c r="J379" s="416"/>
      <c r="O379" s="435"/>
      <c r="P379" s="435"/>
      <c r="Q379" s="407"/>
      <c r="R379" s="407"/>
      <c r="S379" s="407"/>
      <c r="T379" s="407"/>
      <c r="U379" s="407"/>
      <c r="V379" s="407"/>
      <c r="W379" s="407"/>
      <c r="X379" s="407"/>
      <c r="Y379" s="407"/>
      <c r="Z379" s="407"/>
      <c r="AC379" s="413"/>
      <c r="AD379" s="414"/>
      <c r="AE379" s="414"/>
      <c r="AF379" s="414"/>
      <c r="AG379" s="415"/>
      <c r="AH379" s="416"/>
      <c r="AI379" s="413"/>
      <c r="AJ379" s="413"/>
      <c r="AK379" s="422"/>
      <c r="AL379" s="422"/>
      <c r="AM379" s="422"/>
      <c r="AN379" s="423"/>
      <c r="AO379" s="418"/>
      <c r="AP379" s="413"/>
    </row>
    <row r="380" spans="2:47" s="413" customFormat="1" hidden="1" x14ac:dyDescent="0.2">
      <c r="B380" s="424"/>
      <c r="H380" s="424"/>
      <c r="I380" s="424"/>
      <c r="J380" s="424"/>
      <c r="O380" s="435"/>
      <c r="P380" s="435"/>
      <c r="Q380" s="407"/>
      <c r="R380" s="407"/>
      <c r="S380" s="407"/>
      <c r="T380" s="407"/>
      <c r="U380" s="407"/>
      <c r="V380" s="407"/>
      <c r="W380" s="407"/>
      <c r="X380" s="407"/>
      <c r="Y380" s="407"/>
      <c r="Z380" s="407"/>
      <c r="AC380" s="421"/>
      <c r="AD380" s="421"/>
      <c r="AE380" s="421"/>
      <c r="AF380" s="421"/>
      <c r="AG380" s="421"/>
      <c r="AH380" s="421"/>
      <c r="AI380" s="421"/>
      <c r="AJ380" s="421"/>
      <c r="AK380" s="421"/>
      <c r="AL380" s="421"/>
      <c r="AM380" s="421"/>
      <c r="AN380" s="421"/>
      <c r="AO380" s="421"/>
      <c r="AP380" s="421"/>
    </row>
    <row r="381" spans="2:47" s="413" customFormat="1" hidden="1" x14ac:dyDescent="0.2">
      <c r="B381" s="424"/>
      <c r="H381" s="424"/>
      <c r="I381" s="424"/>
      <c r="J381" s="424"/>
      <c r="O381" s="435"/>
      <c r="P381" s="435"/>
      <c r="Q381" s="407"/>
      <c r="R381" s="407"/>
      <c r="S381" s="407"/>
      <c r="T381" s="407"/>
      <c r="U381" s="407"/>
      <c r="V381" s="407"/>
      <c r="W381" s="407"/>
      <c r="X381" s="407"/>
      <c r="Y381" s="407"/>
      <c r="Z381" s="407"/>
      <c r="AD381" s="414"/>
      <c r="AE381" s="422"/>
      <c r="AF381" s="422"/>
      <c r="AG381" s="430"/>
      <c r="AH381" s="416"/>
      <c r="AJ381" s="425"/>
      <c r="AK381" s="422"/>
      <c r="AL381" s="414"/>
      <c r="AM381" s="414"/>
      <c r="AN381" s="426"/>
      <c r="AO381" s="418"/>
      <c r="AP381" s="414"/>
    </row>
    <row r="382" spans="2:47" s="413" customFormat="1" hidden="1" x14ac:dyDescent="0.2">
      <c r="B382" s="424"/>
      <c r="H382" s="424"/>
      <c r="I382" s="424"/>
      <c r="J382" s="424"/>
      <c r="K382" s="435"/>
      <c r="L382" s="435"/>
      <c r="M382" s="435"/>
      <c r="N382" s="435"/>
      <c r="O382" s="435"/>
      <c r="P382" s="435"/>
      <c r="Q382" s="407"/>
      <c r="R382" s="407"/>
      <c r="S382" s="407"/>
      <c r="T382" s="407"/>
      <c r="U382" s="407"/>
      <c r="V382" s="407"/>
      <c r="W382" s="407"/>
      <c r="X382" s="407"/>
      <c r="Y382" s="407"/>
      <c r="Z382" s="407"/>
      <c r="AD382" s="422"/>
      <c r="AE382" s="414"/>
      <c r="AF382" s="414"/>
      <c r="AG382" s="415"/>
      <c r="AH382" s="416"/>
      <c r="AJ382" s="425"/>
      <c r="AK382" s="422"/>
      <c r="AL382" s="422"/>
      <c r="AM382" s="422"/>
      <c r="AN382" s="429"/>
      <c r="AO382" s="424"/>
    </row>
    <row r="383" spans="2:47" s="413" customFormat="1" hidden="1" x14ac:dyDescent="0.2">
      <c r="B383" s="424"/>
      <c r="H383" s="424"/>
      <c r="I383" s="424"/>
      <c r="J383" s="424"/>
      <c r="K383" s="435"/>
      <c r="L383" s="435"/>
      <c r="M383" s="435"/>
      <c r="N383" s="435"/>
      <c r="O383" s="435"/>
      <c r="P383" s="435"/>
      <c r="Q383" s="407"/>
      <c r="R383" s="407"/>
      <c r="S383" s="407"/>
      <c r="T383" s="407"/>
      <c r="U383" s="407"/>
      <c r="V383" s="407"/>
      <c r="W383" s="407"/>
      <c r="X383" s="407"/>
      <c r="Y383" s="407"/>
      <c r="Z383" s="407"/>
      <c r="AC383" s="266"/>
      <c r="AD383" s="414"/>
      <c r="AE383" s="414"/>
      <c r="AF383" s="414"/>
      <c r="AG383" s="415"/>
      <c r="AH383" s="416"/>
      <c r="AI383" s="266"/>
      <c r="AJ383" s="266"/>
      <c r="AK383" s="422"/>
      <c r="AL383" s="414"/>
      <c r="AM383" s="414"/>
      <c r="AN383" s="438"/>
      <c r="AO383" s="424"/>
      <c r="AP383" s="266"/>
    </row>
    <row r="384" spans="2:47" s="413" customFormat="1" hidden="1" x14ac:dyDescent="0.2">
      <c r="B384" s="424"/>
      <c r="D384" s="439"/>
      <c r="E384" s="439"/>
      <c r="G384" s="424"/>
      <c r="H384" s="424"/>
      <c r="I384" s="424"/>
      <c r="J384" s="424"/>
      <c r="K384" s="407"/>
      <c r="L384" s="407"/>
      <c r="M384" s="407"/>
      <c r="N384" s="407"/>
      <c r="O384" s="407"/>
      <c r="P384" s="407"/>
      <c r="Q384" s="407"/>
      <c r="R384" s="407"/>
      <c r="S384" s="407"/>
      <c r="T384" s="407"/>
      <c r="U384" s="407"/>
      <c r="V384" s="407"/>
      <c r="W384" s="407"/>
      <c r="X384" s="407"/>
      <c r="Y384" s="407"/>
      <c r="Z384" s="407"/>
      <c r="AC384" s="431"/>
      <c r="AD384" s="431"/>
      <c r="AE384" s="431"/>
      <c r="AF384" s="431"/>
      <c r="AG384" s="431"/>
      <c r="AH384" s="431"/>
      <c r="AI384" s="431"/>
      <c r="AJ384" s="431"/>
      <c r="AK384" s="431"/>
      <c r="AL384" s="431"/>
      <c r="AM384" s="431"/>
      <c r="AN384" s="431"/>
      <c r="AO384" s="431"/>
      <c r="AP384" s="431"/>
    </row>
    <row r="385" spans="2:42" s="413" customFormat="1" hidden="1" x14ac:dyDescent="0.2">
      <c r="B385" s="424"/>
      <c r="D385" s="440"/>
      <c r="E385" s="264"/>
      <c r="G385" s="424"/>
      <c r="H385" s="424"/>
      <c r="I385" s="424"/>
      <c r="J385" s="424"/>
      <c r="K385" s="407"/>
      <c r="L385" s="407"/>
      <c r="M385" s="407"/>
      <c r="N385" s="407"/>
      <c r="O385" s="407"/>
      <c r="P385" s="407"/>
      <c r="Q385" s="407"/>
      <c r="R385" s="407"/>
      <c r="S385" s="407"/>
      <c r="T385" s="407"/>
      <c r="U385" s="407"/>
      <c r="V385" s="407"/>
      <c r="W385" s="407"/>
      <c r="X385" s="407"/>
      <c r="Y385" s="407"/>
      <c r="Z385" s="407"/>
      <c r="AC385" s="437"/>
      <c r="AD385" s="437"/>
      <c r="AE385" s="437"/>
      <c r="AF385" s="437"/>
      <c r="AG385" s="437"/>
      <c r="AH385" s="437"/>
      <c r="AI385" s="437"/>
      <c r="AJ385" s="421"/>
      <c r="AK385" s="421"/>
      <c r="AL385" s="421"/>
      <c r="AM385" s="421"/>
      <c r="AN385" s="421"/>
      <c r="AO385" s="421"/>
      <c r="AP385" s="421"/>
    </row>
    <row r="386" spans="2:42" s="413" customFormat="1" hidden="1" x14ac:dyDescent="0.2">
      <c r="B386" s="424"/>
      <c r="D386" s="440"/>
      <c r="E386" s="264"/>
      <c r="F386" s="424"/>
      <c r="G386" s="424"/>
      <c r="H386" s="424"/>
      <c r="I386" s="424"/>
      <c r="J386" s="424"/>
      <c r="K386" s="266"/>
      <c r="L386" s="414"/>
      <c r="M386" s="414"/>
      <c r="N386" s="414"/>
      <c r="O386" s="432"/>
      <c r="P386" s="416"/>
      <c r="Q386" s="416"/>
      <c r="R386" s="266"/>
      <c r="S386" s="414"/>
      <c r="T386" s="414"/>
      <c r="U386" s="414"/>
      <c r="V386" s="414"/>
      <c r="W386" s="414"/>
      <c r="X386" s="432"/>
      <c r="Y386" s="416"/>
      <c r="Z386" s="416"/>
      <c r="AC386" s="266"/>
      <c r="AD386" s="414"/>
      <c r="AE386" s="414"/>
      <c r="AF386" s="414"/>
      <c r="AG386" s="432"/>
      <c r="AH386" s="416"/>
      <c r="AI386" s="416"/>
      <c r="AK386" s="414"/>
      <c r="AL386" s="422"/>
      <c r="AM386" s="422"/>
      <c r="AN386" s="438"/>
      <c r="AO386" s="416"/>
    </row>
    <row r="387" spans="2:42" s="413" customFormat="1" hidden="1" x14ac:dyDescent="0.2">
      <c r="B387" s="424"/>
      <c r="D387" s="414"/>
      <c r="E387" s="264"/>
      <c r="F387" s="424"/>
      <c r="G387" s="424"/>
      <c r="H387" s="424"/>
      <c r="I387" s="424"/>
      <c r="J387" s="424"/>
      <c r="K387" s="266"/>
      <c r="L387" s="414"/>
      <c r="M387" s="414"/>
      <c r="N387" s="414"/>
      <c r="O387" s="434"/>
      <c r="P387" s="416"/>
      <c r="Q387" s="266"/>
      <c r="R387" s="266"/>
      <c r="S387" s="414"/>
      <c r="T387" s="414"/>
      <c r="U387" s="414"/>
      <c r="V387" s="414"/>
      <c r="W387" s="414"/>
      <c r="X387" s="434"/>
      <c r="Y387" s="416"/>
      <c r="Z387" s="266"/>
      <c r="AC387" s="266"/>
      <c r="AD387" s="414"/>
      <c r="AE387" s="414"/>
      <c r="AF387" s="414"/>
      <c r="AG387" s="434"/>
      <c r="AH387" s="416"/>
      <c r="AI387" s="266"/>
      <c r="AK387" s="414"/>
      <c r="AL387" s="414"/>
      <c r="AM387" s="414"/>
      <c r="AN387" s="441"/>
      <c r="AO387" s="416"/>
    </row>
    <row r="388" spans="2:42" s="413" customFormat="1" hidden="1" x14ac:dyDescent="0.2">
      <c r="B388" s="424"/>
      <c r="D388" s="442"/>
      <c r="E388" s="264"/>
      <c r="F388" s="424"/>
      <c r="G388" s="424"/>
      <c r="H388" s="424"/>
      <c r="I388" s="424"/>
      <c r="J388" s="424"/>
      <c r="K388" s="266"/>
      <c r="L388" s="414"/>
      <c r="M388" s="414"/>
      <c r="N388" s="414"/>
      <c r="O388" s="434"/>
      <c r="P388" s="416"/>
      <c r="Q388" s="266"/>
      <c r="R388" s="266"/>
      <c r="S388" s="414"/>
      <c r="T388" s="414"/>
      <c r="U388" s="414"/>
      <c r="V388" s="414"/>
      <c r="W388" s="414"/>
      <c r="X388" s="434"/>
      <c r="Y388" s="416"/>
      <c r="Z388" s="266"/>
      <c r="AC388" s="266"/>
      <c r="AD388" s="414"/>
      <c r="AE388" s="414"/>
      <c r="AF388" s="414"/>
      <c r="AG388" s="434"/>
      <c r="AH388" s="416"/>
      <c r="AI388" s="266"/>
      <c r="AJ388" s="266"/>
      <c r="AK388" s="414"/>
      <c r="AL388" s="414"/>
      <c r="AM388" s="414"/>
      <c r="AN388" s="438"/>
      <c r="AO388" s="416"/>
      <c r="AP388" s="266"/>
    </row>
    <row r="389" spans="2:42" s="413" customFormat="1" hidden="1" x14ac:dyDescent="0.2">
      <c r="B389" s="424"/>
      <c r="D389" s="442"/>
      <c r="E389" s="264"/>
      <c r="F389" s="424"/>
      <c r="G389" s="424"/>
      <c r="H389" s="424"/>
      <c r="I389" s="424"/>
      <c r="J389" s="424"/>
      <c r="K389" s="421"/>
      <c r="L389" s="421"/>
      <c r="M389" s="421"/>
      <c r="N389" s="421"/>
      <c r="O389" s="421"/>
      <c r="P389" s="421"/>
      <c r="Q389" s="421"/>
      <c r="R389" s="421"/>
      <c r="S389" s="421"/>
      <c r="T389" s="421"/>
      <c r="U389" s="421"/>
      <c r="V389" s="421"/>
      <c r="W389" s="421"/>
      <c r="X389" s="421"/>
      <c r="Y389" s="421"/>
      <c r="Z389" s="421"/>
      <c r="AC389" s="421"/>
      <c r="AD389" s="421"/>
      <c r="AE389" s="421"/>
      <c r="AF389" s="421"/>
      <c r="AG389" s="421"/>
      <c r="AH389" s="421"/>
      <c r="AI389" s="421"/>
      <c r="AJ389" s="421"/>
      <c r="AK389" s="421"/>
      <c r="AL389" s="421"/>
      <c r="AM389" s="421"/>
      <c r="AN389" s="421"/>
      <c r="AO389" s="421"/>
      <c r="AP389" s="421"/>
    </row>
    <row r="390" spans="2:42" s="413" customFormat="1" hidden="1" x14ac:dyDescent="0.2">
      <c r="B390" s="424"/>
      <c r="D390" s="442"/>
      <c r="E390" s="264"/>
      <c r="F390" s="424"/>
      <c r="G390" s="424"/>
      <c r="H390" s="424"/>
      <c r="I390" s="424"/>
      <c r="J390" s="424"/>
      <c r="L390" s="422"/>
      <c r="M390" s="422"/>
      <c r="N390" s="422"/>
      <c r="O390" s="430"/>
      <c r="P390" s="416"/>
      <c r="S390" s="414"/>
      <c r="T390" s="414"/>
      <c r="U390" s="414"/>
      <c r="V390" s="422"/>
      <c r="W390" s="422"/>
      <c r="X390" s="429"/>
      <c r="Y390" s="416"/>
      <c r="AD390" s="422"/>
      <c r="AE390" s="422"/>
      <c r="AF390" s="422"/>
      <c r="AG390" s="430"/>
      <c r="AH390" s="416"/>
      <c r="AK390" s="422"/>
      <c r="AL390" s="422"/>
      <c r="AM390" s="422"/>
      <c r="AN390" s="443"/>
      <c r="AO390" s="416"/>
    </row>
    <row r="391" spans="2:42" s="413" customFormat="1" hidden="1" x14ac:dyDescent="0.2">
      <c r="B391" s="424"/>
      <c r="D391" s="264"/>
      <c r="E391" s="264"/>
      <c r="F391" s="424"/>
      <c r="G391" s="424"/>
      <c r="H391" s="424"/>
      <c r="I391" s="424"/>
      <c r="J391" s="424"/>
      <c r="L391" s="414"/>
      <c r="M391" s="414"/>
      <c r="N391" s="414"/>
      <c r="O391" s="415"/>
      <c r="P391" s="416"/>
      <c r="R391" s="266"/>
      <c r="S391" s="414"/>
      <c r="T391" s="414"/>
      <c r="U391" s="414"/>
      <c r="V391" s="414"/>
      <c r="W391" s="414"/>
      <c r="X391" s="438"/>
      <c r="Y391" s="416"/>
      <c r="Z391" s="266"/>
      <c r="AD391" s="414"/>
      <c r="AE391" s="422"/>
      <c r="AF391" s="422"/>
      <c r="AG391" s="430"/>
      <c r="AH391" s="416"/>
      <c r="AJ391" s="266"/>
      <c r="AK391" s="414"/>
      <c r="AL391" s="414"/>
      <c r="AM391" s="414"/>
      <c r="AN391" s="444"/>
      <c r="AO391" s="416"/>
      <c r="AP391" s="266"/>
    </row>
    <row r="392" spans="2:42" s="413" customFormat="1" hidden="1" x14ac:dyDescent="0.2">
      <c r="B392" s="424"/>
      <c r="D392" s="264"/>
      <c r="E392" s="264"/>
      <c r="F392" s="424"/>
      <c r="G392" s="424"/>
      <c r="H392" s="424"/>
      <c r="I392" s="424"/>
      <c r="J392" s="424"/>
      <c r="L392" s="414"/>
      <c r="M392" s="414"/>
      <c r="N392" s="414"/>
      <c r="O392" s="415"/>
      <c r="P392" s="416"/>
      <c r="R392" s="266"/>
      <c r="S392" s="414"/>
      <c r="T392" s="414"/>
      <c r="U392" s="414"/>
      <c r="V392" s="414"/>
      <c r="W392" s="414"/>
      <c r="X392" s="415"/>
      <c r="Y392" s="416"/>
      <c r="Z392" s="266"/>
      <c r="AD392" s="414"/>
      <c r="AE392" s="414"/>
      <c r="AF392" s="414"/>
      <c r="AG392" s="415"/>
      <c r="AH392" s="416"/>
      <c r="AJ392" s="266"/>
      <c r="AK392" s="414"/>
      <c r="AL392" s="414"/>
      <c r="AM392" s="414"/>
      <c r="AN392" s="444"/>
      <c r="AO392" s="416"/>
      <c r="AP392" s="266"/>
    </row>
    <row r="393" spans="2:42" s="413" customFormat="1" hidden="1" x14ac:dyDescent="0.2">
      <c r="B393" s="424"/>
      <c r="D393" s="264"/>
      <c r="E393" s="264"/>
      <c r="F393" s="424"/>
      <c r="G393" s="424"/>
      <c r="H393" s="424"/>
      <c r="I393" s="424"/>
      <c r="J393" s="424"/>
      <c r="K393" s="421"/>
      <c r="L393" s="421"/>
      <c r="M393" s="421"/>
      <c r="N393" s="421"/>
      <c r="O393" s="421"/>
      <c r="P393" s="421"/>
      <c r="Q393" s="421"/>
      <c r="R393" s="421"/>
      <c r="S393" s="421"/>
      <c r="T393" s="421"/>
      <c r="U393" s="421"/>
      <c r="V393" s="421"/>
      <c r="W393" s="421"/>
      <c r="X393" s="421"/>
      <c r="Y393" s="421"/>
      <c r="Z393" s="421"/>
      <c r="AC393" s="421"/>
      <c r="AD393" s="421"/>
      <c r="AE393" s="421"/>
      <c r="AF393" s="421"/>
      <c r="AG393" s="421"/>
      <c r="AH393" s="421"/>
      <c r="AI393" s="421"/>
      <c r="AJ393" s="421"/>
      <c r="AK393" s="421"/>
      <c r="AL393" s="421"/>
      <c r="AM393" s="421"/>
      <c r="AN393" s="421"/>
      <c r="AO393" s="421"/>
      <c r="AP393" s="421"/>
    </row>
    <row r="394" spans="2:42" s="413" customFormat="1" hidden="1" x14ac:dyDescent="0.2">
      <c r="B394" s="424"/>
      <c r="D394" s="264"/>
      <c r="E394" s="264"/>
      <c r="F394" s="424"/>
      <c r="G394" s="424"/>
      <c r="H394" s="424"/>
      <c r="I394" s="424"/>
      <c r="J394" s="424"/>
      <c r="L394" s="422"/>
      <c r="M394" s="422"/>
      <c r="N394" s="422"/>
      <c r="O394" s="429"/>
      <c r="P394" s="424"/>
      <c r="R394" s="425"/>
      <c r="S394" s="422"/>
      <c r="T394" s="422"/>
      <c r="U394" s="422"/>
      <c r="V394" s="414"/>
      <c r="W394" s="414"/>
      <c r="X394" s="426"/>
      <c r="Y394" s="418"/>
      <c r="Z394" s="414"/>
      <c r="AD394" s="422"/>
      <c r="AE394" s="422"/>
      <c r="AF394" s="422"/>
      <c r="AG394" s="429"/>
      <c r="AH394" s="424"/>
      <c r="AK394" s="422"/>
      <c r="AL394" s="422"/>
      <c r="AM394" s="422"/>
      <c r="AN394" s="429"/>
      <c r="AO394" s="416"/>
    </row>
    <row r="395" spans="2:42" s="413" customFormat="1" hidden="1" x14ac:dyDescent="0.2">
      <c r="B395" s="424"/>
      <c r="D395" s="264"/>
      <c r="E395" s="264"/>
      <c r="F395" s="424"/>
      <c r="G395" s="424"/>
      <c r="H395" s="424"/>
      <c r="I395" s="424"/>
      <c r="J395" s="424"/>
      <c r="L395" s="414"/>
      <c r="M395" s="414"/>
      <c r="N395" s="414"/>
      <c r="O395" s="438"/>
      <c r="P395" s="416"/>
      <c r="R395" s="425"/>
      <c r="S395" s="422"/>
      <c r="T395" s="422"/>
      <c r="U395" s="422"/>
      <c r="V395" s="422"/>
      <c r="W395" s="422"/>
      <c r="X395" s="429"/>
      <c r="Y395" s="424"/>
      <c r="AD395" s="414"/>
      <c r="AE395" s="414"/>
      <c r="AF395" s="414"/>
      <c r="AG395" s="441"/>
      <c r="AH395" s="416"/>
      <c r="AK395" s="422"/>
      <c r="AL395" s="422"/>
      <c r="AM395" s="422"/>
      <c r="AN395" s="443"/>
      <c r="AO395" s="416"/>
    </row>
    <row r="396" spans="2:42" s="413" customFormat="1" hidden="1" x14ac:dyDescent="0.2">
      <c r="B396" s="424"/>
      <c r="C396" s="424"/>
      <c r="D396" s="424"/>
      <c r="E396" s="424"/>
      <c r="F396" s="424"/>
      <c r="G396" s="424"/>
      <c r="H396" s="424"/>
      <c r="I396" s="424"/>
      <c r="J396" s="424"/>
      <c r="K396" s="266"/>
      <c r="L396" s="414"/>
      <c r="M396" s="414"/>
      <c r="N396" s="414"/>
      <c r="O396" s="438"/>
      <c r="P396" s="416"/>
      <c r="Q396" s="266"/>
      <c r="R396" s="266"/>
      <c r="S396" s="414"/>
      <c r="T396" s="414"/>
      <c r="U396" s="414"/>
      <c r="V396" s="414"/>
      <c r="W396" s="414"/>
      <c r="X396" s="445"/>
      <c r="Y396" s="416"/>
      <c r="Z396" s="266"/>
      <c r="AC396" s="266"/>
      <c r="AD396" s="414"/>
      <c r="AE396" s="414"/>
      <c r="AF396" s="414"/>
      <c r="AG396" s="415"/>
      <c r="AH396" s="416"/>
      <c r="AI396" s="266"/>
      <c r="AJ396" s="266"/>
      <c r="AK396" s="414"/>
      <c r="AL396" s="414"/>
      <c r="AM396" s="414"/>
      <c r="AN396" s="444"/>
      <c r="AO396" s="416"/>
      <c r="AP396" s="266"/>
    </row>
    <row r="397" spans="2:42" s="413" customFormat="1" hidden="1" x14ac:dyDescent="0.2">
      <c r="B397" s="424"/>
      <c r="C397" s="446">
        <f>0.0157*10</f>
        <v>0.157</v>
      </c>
      <c r="D397" s="262"/>
      <c r="E397" s="262"/>
      <c r="F397" s="262"/>
      <c r="G397" s="424"/>
      <c r="H397" s="424"/>
      <c r="I397" s="424"/>
      <c r="J397" s="424"/>
      <c r="K397" s="431"/>
      <c r="L397" s="431"/>
      <c r="M397" s="431"/>
      <c r="N397" s="431"/>
      <c r="O397" s="431"/>
      <c r="P397" s="431"/>
      <c r="Q397" s="431"/>
      <c r="R397" s="431"/>
      <c r="S397" s="431"/>
      <c r="T397" s="431"/>
      <c r="U397" s="431"/>
      <c r="V397" s="431"/>
      <c r="W397" s="431"/>
      <c r="X397" s="431"/>
      <c r="Y397" s="431"/>
      <c r="Z397" s="431"/>
    </row>
    <row r="398" spans="2:42" s="413" customFormat="1" ht="13.5" hidden="1" customHeight="1" x14ac:dyDescent="0.2">
      <c r="B398" s="424"/>
      <c r="C398" s="447" t="s">
        <v>107</v>
      </c>
      <c r="D398" s="447"/>
      <c r="E398" s="447"/>
      <c r="F398" s="447"/>
      <c r="G398" s="424"/>
      <c r="H398" s="424"/>
      <c r="I398" s="424"/>
      <c r="J398" s="424"/>
      <c r="K398" s="437"/>
      <c r="L398" s="437"/>
      <c r="M398" s="437"/>
      <c r="N398" s="437"/>
      <c r="O398" s="437"/>
      <c r="P398" s="437"/>
      <c r="Q398" s="437"/>
      <c r="R398" s="421"/>
      <c r="S398" s="421"/>
      <c r="T398" s="421"/>
      <c r="U398" s="421"/>
      <c r="V398" s="421"/>
      <c r="W398" s="421"/>
      <c r="X398" s="421"/>
      <c r="Y398" s="421"/>
      <c r="Z398" s="421"/>
    </row>
    <row r="399" spans="2:42" s="413" customFormat="1" ht="13.5" hidden="1" customHeight="1" x14ac:dyDescent="0.2">
      <c r="B399" s="424"/>
      <c r="C399" s="424"/>
      <c r="D399" s="424"/>
      <c r="E399" s="424"/>
      <c r="F399" s="424"/>
      <c r="G399" s="424"/>
      <c r="H399" s="424"/>
      <c r="I399" s="424"/>
      <c r="J399" s="424"/>
      <c r="K399" s="266"/>
      <c r="L399" s="414"/>
      <c r="M399" s="414"/>
      <c r="N399" s="414"/>
      <c r="O399" s="432"/>
      <c r="P399" s="416"/>
      <c r="Q399" s="416"/>
      <c r="S399" s="422"/>
      <c r="T399" s="422"/>
      <c r="U399" s="422"/>
      <c r="V399" s="422"/>
      <c r="W399" s="422"/>
      <c r="X399" s="429"/>
      <c r="Y399" s="416"/>
    </row>
    <row r="400" spans="2:42" s="413" customFormat="1" ht="13.5" hidden="1" customHeight="1" x14ac:dyDescent="0.2">
      <c r="B400" s="424"/>
      <c r="C400" s="424"/>
      <c r="D400" s="424"/>
      <c r="E400" s="424"/>
      <c r="F400" s="424"/>
      <c r="G400" s="424"/>
      <c r="H400" s="424"/>
      <c r="I400" s="424"/>
      <c r="J400" s="424"/>
      <c r="K400" s="266"/>
      <c r="L400" s="414"/>
      <c r="M400" s="414"/>
      <c r="N400" s="414"/>
      <c r="O400" s="434"/>
      <c r="P400" s="416"/>
      <c r="Q400" s="266"/>
      <c r="R400" s="266"/>
      <c r="S400" s="422"/>
      <c r="T400" s="422"/>
      <c r="U400" s="422"/>
      <c r="V400" s="414"/>
      <c r="W400" s="414"/>
      <c r="X400" s="438"/>
      <c r="Y400" s="416"/>
      <c r="Z400" s="266"/>
    </row>
    <row r="401" spans="2:43" s="173" customFormat="1" ht="13.5" customHeight="1" x14ac:dyDescent="0.2">
      <c r="B401" s="169"/>
      <c r="C401" s="169"/>
      <c r="D401" s="169"/>
      <c r="E401" s="169"/>
      <c r="F401" s="169"/>
      <c r="G401" s="169"/>
      <c r="H401" s="169"/>
      <c r="I401" s="169"/>
      <c r="J401" s="169"/>
      <c r="K401" s="13"/>
      <c r="L401" s="153"/>
      <c r="M401" s="153"/>
      <c r="N401" s="153"/>
      <c r="O401" s="168"/>
      <c r="P401" s="160"/>
      <c r="Q401" s="13"/>
      <c r="R401" s="13"/>
      <c r="S401" s="153"/>
      <c r="T401" s="153"/>
      <c r="U401" s="153"/>
      <c r="V401" s="153"/>
      <c r="W401" s="153"/>
      <c r="X401" s="159"/>
      <c r="Y401" s="160"/>
      <c r="Z401" s="13"/>
    </row>
    <row r="402" spans="2:43" s="120" customFormat="1" ht="13.5" customHeight="1" x14ac:dyDescent="0.2">
      <c r="B402" s="123"/>
      <c r="C402" s="123"/>
      <c r="D402" s="123"/>
      <c r="E402" s="123"/>
      <c r="F402" s="123"/>
      <c r="G402" s="123"/>
      <c r="H402" s="123"/>
      <c r="I402" s="123"/>
      <c r="J402" s="123"/>
      <c r="K402" s="254"/>
      <c r="L402" s="254"/>
      <c r="M402" s="254"/>
      <c r="N402" s="254"/>
      <c r="O402" s="254"/>
      <c r="P402" s="254"/>
      <c r="Q402" s="254"/>
      <c r="R402" s="254"/>
      <c r="S402" s="254"/>
      <c r="T402" s="254"/>
      <c r="U402" s="254"/>
      <c r="V402" s="254"/>
      <c r="W402" s="254"/>
      <c r="X402" s="254"/>
      <c r="Y402" s="254"/>
      <c r="Z402" s="254"/>
    </row>
    <row r="403" spans="2:43" s="120" customFormat="1" ht="13.5" customHeight="1" x14ac:dyDescent="0.2">
      <c r="B403" s="123"/>
      <c r="C403" s="123"/>
      <c r="D403" s="123"/>
      <c r="E403" s="123"/>
      <c r="F403" s="123"/>
      <c r="G403" s="123"/>
      <c r="H403" s="123"/>
      <c r="I403" s="123"/>
      <c r="J403" s="123"/>
      <c r="L403" s="161"/>
      <c r="M403" s="161"/>
      <c r="N403" s="161"/>
      <c r="O403" s="170"/>
      <c r="P403" s="160"/>
      <c r="S403" s="153"/>
      <c r="T403" s="153"/>
      <c r="U403" s="153"/>
      <c r="V403" s="161"/>
      <c r="W403" s="161"/>
      <c r="X403" s="165"/>
      <c r="Y403" s="160"/>
    </row>
    <row r="404" spans="2:43" s="120" customFormat="1" ht="13.5" customHeight="1" x14ac:dyDescent="0.2">
      <c r="B404" s="123"/>
      <c r="C404" s="123"/>
      <c r="D404" s="123"/>
      <c r="E404" s="123"/>
      <c r="F404" s="123"/>
      <c r="G404" s="123"/>
      <c r="H404" s="123"/>
      <c r="I404" s="123"/>
      <c r="J404" s="123"/>
      <c r="L404" s="153"/>
      <c r="M404" s="166"/>
      <c r="N404" s="166"/>
      <c r="O404" s="171"/>
      <c r="P404" s="160"/>
      <c r="R404" s="122"/>
      <c r="S404" s="153"/>
      <c r="T404" s="153"/>
      <c r="U404" s="153"/>
      <c r="V404" s="125"/>
      <c r="W404" s="125"/>
      <c r="X404" s="162"/>
      <c r="Y404" s="160"/>
      <c r="Z404" s="122"/>
    </row>
    <row r="405" spans="2:43" s="120" customFormat="1" ht="13.5" customHeight="1" x14ac:dyDescent="0.2">
      <c r="B405" s="123"/>
      <c r="C405" s="123"/>
      <c r="D405" s="123"/>
      <c r="E405" s="123"/>
      <c r="F405" s="123"/>
      <c r="G405" s="123"/>
      <c r="H405" s="123"/>
      <c r="I405" s="123"/>
      <c r="J405" s="123"/>
      <c r="L405" s="153"/>
      <c r="M405" s="125"/>
      <c r="N405" s="125"/>
      <c r="O405" s="163"/>
      <c r="P405" s="160"/>
      <c r="S405" s="153"/>
      <c r="T405" s="153"/>
      <c r="U405" s="153"/>
      <c r="V405" s="125"/>
      <c r="W405" s="125"/>
      <c r="X405" s="164"/>
      <c r="Y405" s="160"/>
    </row>
    <row r="406" spans="2:43" s="120" customFormat="1" ht="12.75" customHeight="1" x14ac:dyDescent="0.2">
      <c r="B406" s="123"/>
      <c r="C406" s="123"/>
      <c r="D406" s="123"/>
      <c r="E406" s="123"/>
      <c r="F406" s="123"/>
      <c r="G406" s="123"/>
      <c r="H406" s="123"/>
      <c r="I406" s="123"/>
      <c r="J406" s="123"/>
      <c r="K406" s="254"/>
      <c r="L406" s="254"/>
      <c r="M406" s="254"/>
      <c r="N406" s="254"/>
      <c r="O406" s="254"/>
      <c r="P406" s="254"/>
      <c r="Q406" s="254"/>
      <c r="R406" s="254"/>
      <c r="S406" s="254"/>
      <c r="T406" s="254"/>
      <c r="U406" s="254"/>
      <c r="V406" s="254"/>
      <c r="W406" s="254"/>
      <c r="X406" s="254"/>
      <c r="Y406" s="254"/>
      <c r="Z406" s="254"/>
    </row>
    <row r="407" spans="2:43" s="120" customFormat="1" ht="12.75" customHeight="1" x14ac:dyDescent="0.2">
      <c r="B407" s="123"/>
      <c r="C407" s="123"/>
      <c r="D407" s="123"/>
      <c r="E407" s="123"/>
      <c r="F407" s="123"/>
      <c r="G407" s="123"/>
      <c r="H407" s="123"/>
      <c r="I407" s="123"/>
      <c r="J407" s="123"/>
      <c r="L407" s="161"/>
      <c r="M407" s="161"/>
      <c r="N407" s="161"/>
      <c r="O407" s="165"/>
      <c r="P407" s="169"/>
      <c r="S407" s="161"/>
      <c r="T407" s="161"/>
      <c r="U407" s="161"/>
      <c r="V407" s="161"/>
      <c r="W407" s="161"/>
      <c r="X407" s="165"/>
      <c r="Y407" s="160"/>
    </row>
    <row r="408" spans="2:43" s="120" customFormat="1" ht="12.75" customHeight="1" x14ac:dyDescent="0.2">
      <c r="B408" s="123"/>
      <c r="C408" s="123"/>
      <c r="D408" s="123"/>
      <c r="E408" s="123"/>
      <c r="F408" s="123"/>
      <c r="G408" s="123"/>
      <c r="H408" s="123"/>
      <c r="I408" s="123"/>
      <c r="J408" s="123"/>
      <c r="L408" s="153"/>
      <c r="M408" s="125"/>
      <c r="N408" s="125"/>
      <c r="O408" s="172"/>
      <c r="P408" s="160"/>
      <c r="S408" s="161"/>
      <c r="T408" s="161"/>
      <c r="U408" s="161"/>
      <c r="V408" s="166"/>
      <c r="W408" s="166"/>
      <c r="X408" s="167"/>
      <c r="Y408" s="160"/>
    </row>
    <row r="409" spans="2:43" s="120" customFormat="1" ht="12.75" customHeight="1" x14ac:dyDescent="0.2">
      <c r="B409" s="123"/>
      <c r="C409" s="123"/>
      <c r="D409" s="123"/>
      <c r="E409" s="123"/>
      <c r="F409" s="123"/>
      <c r="G409" s="123"/>
      <c r="H409" s="123"/>
      <c r="I409" s="123"/>
      <c r="J409" s="123"/>
      <c r="K409" s="122"/>
      <c r="L409" s="153"/>
      <c r="M409" s="125"/>
      <c r="N409" s="125"/>
      <c r="O409" s="163"/>
      <c r="P409" s="160"/>
      <c r="Q409" s="122"/>
      <c r="R409" s="122"/>
      <c r="S409" s="153"/>
      <c r="T409" s="153"/>
      <c r="U409" s="153"/>
      <c r="V409" s="125"/>
      <c r="W409" s="125"/>
      <c r="X409" s="162"/>
      <c r="Y409" s="160"/>
      <c r="Z409" s="122"/>
    </row>
    <row r="410" spans="2:43" s="120" customFormat="1" ht="12.75" customHeight="1" x14ac:dyDescent="0.2"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</row>
    <row r="411" spans="2:43" s="120" customFormat="1" ht="12.75" customHeight="1" x14ac:dyDescent="0.2"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</row>
    <row r="412" spans="2:43" s="120" customFormat="1" ht="13.5" customHeight="1" x14ac:dyDescent="0.2"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</row>
    <row r="413" spans="2:43" ht="12.75" customHeight="1" x14ac:dyDescent="0.2"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19"/>
    </row>
    <row r="414" spans="2:43" ht="12.75" customHeight="1" x14ac:dyDescent="0.2"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</row>
    <row r="415" spans="2:43" ht="12.75" customHeight="1" x14ac:dyDescent="0.2"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</row>
    <row r="416" spans="2:43" ht="13.5" customHeight="1" x14ac:dyDescent="0.2"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</row>
    <row r="417" spans="2:42" x14ac:dyDescent="0.2"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</row>
    <row r="418" spans="2:42" x14ac:dyDescent="0.2"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</row>
    <row r="419" spans="2:42" x14ac:dyDescent="0.2"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</row>
    <row r="420" spans="2:42" x14ac:dyDescent="0.2"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</row>
  </sheetData>
  <sheetProtection algorithmName="SHA-512" hashValue="Kx7PqGPAMo4c3CNDV+sRPi9NnMmaavz+3Uh4xkkjDnSSlaMm45wSvQTXf3tYzwCPL4W3egv4Y3HtxRTc/kKp7A==" saltValue="aaAHZGmkHKRwJML7x2j0yw==" spinCount="100000" sheet="1" objects="1" scenarios="1"/>
  <mergeCells count="159">
    <mergeCell ref="V345:W345"/>
    <mergeCell ref="Z338:AB338"/>
    <mergeCell ref="W310:Y310"/>
    <mergeCell ref="W324:Y324"/>
    <mergeCell ref="V331:W331"/>
    <mergeCell ref="R303:S303"/>
    <mergeCell ref="W317:Y317"/>
    <mergeCell ref="C398:F398"/>
    <mergeCell ref="K397:Z397"/>
    <mergeCell ref="R398:Z398"/>
    <mergeCell ref="K398:Q398"/>
    <mergeCell ref="C344:F345"/>
    <mergeCell ref="G344:G345"/>
    <mergeCell ref="P340:Q340"/>
    <mergeCell ref="R340:S340"/>
    <mergeCell ref="K339:M340"/>
    <mergeCell ref="L342:L343"/>
    <mergeCell ref="M342:M343"/>
    <mergeCell ref="N342:N343"/>
    <mergeCell ref="O342:O343"/>
    <mergeCell ref="G350:G351"/>
    <mergeCell ref="R345:S346"/>
    <mergeCell ref="P345:Q346"/>
    <mergeCell ref="N345:O346"/>
    <mergeCell ref="K345:L346"/>
    <mergeCell ref="C343:G343"/>
    <mergeCell ref="C341:F342"/>
    <mergeCell ref="G341:G342"/>
    <mergeCell ref="C346:F347"/>
    <mergeCell ref="G346:G347"/>
    <mergeCell ref="C348:F349"/>
    <mergeCell ref="G348:G349"/>
    <mergeCell ref="C350:F351"/>
    <mergeCell ref="K342:K343"/>
    <mergeCell ref="AJ321:AP321"/>
    <mergeCell ref="AJ333:AP333"/>
    <mergeCell ref="K333:M334"/>
    <mergeCell ref="R334:S334"/>
    <mergeCell ref="O332:Q332"/>
    <mergeCell ref="P334:Q334"/>
    <mergeCell ref="C339:F340"/>
    <mergeCell ref="G339:G340"/>
    <mergeCell ref="P339:Q339"/>
    <mergeCell ref="V338:X338"/>
    <mergeCell ref="P353:S353"/>
    <mergeCell ref="S342:S343"/>
    <mergeCell ref="S336:S337"/>
    <mergeCell ref="R336:R337"/>
    <mergeCell ref="Q336:Q337"/>
    <mergeCell ref="O336:O337"/>
    <mergeCell ref="N336:N337"/>
    <mergeCell ref="M336:M337"/>
    <mergeCell ref="R339:S339"/>
    <mergeCell ref="P342:P343"/>
    <mergeCell ref="Q342:Q343"/>
    <mergeCell ref="R342:R343"/>
    <mergeCell ref="M345:M346"/>
    <mergeCell ref="AC355:AI355"/>
    <mergeCell ref="AC389:AI389"/>
    <mergeCell ref="AC385:AI385"/>
    <mergeCell ref="AJ355:AP355"/>
    <mergeCell ref="AJ367:AP367"/>
    <mergeCell ref="K402:Q402"/>
    <mergeCell ref="K406:Q406"/>
    <mergeCell ref="R406:Z406"/>
    <mergeCell ref="R402:Z402"/>
    <mergeCell ref="AC393:AI393"/>
    <mergeCell ref="AJ393:AP393"/>
    <mergeCell ref="AJ389:AP389"/>
    <mergeCell ref="AJ385:AP385"/>
    <mergeCell ref="K389:Q389"/>
    <mergeCell ref="R389:Z389"/>
    <mergeCell ref="K393:Q393"/>
    <mergeCell ref="R393:Z393"/>
    <mergeCell ref="AJ376:AP376"/>
    <mergeCell ref="G24:G25"/>
    <mergeCell ref="AC384:AP384"/>
    <mergeCell ref="AC380:AI380"/>
    <mergeCell ref="AJ380:AP380"/>
    <mergeCell ref="AC316:AP316"/>
    <mergeCell ref="AC303:AP303"/>
    <mergeCell ref="AC350:AP350"/>
    <mergeCell ref="AC317:AI317"/>
    <mergeCell ref="AJ317:AP317"/>
    <mergeCell ref="AJ304:AP304"/>
    <mergeCell ref="AC308:AI308"/>
    <mergeCell ref="AC321:AI321"/>
    <mergeCell ref="AC304:AI304"/>
    <mergeCell ref="AJ308:AP308"/>
    <mergeCell ref="AC312:AI312"/>
    <mergeCell ref="AJ312:AP312"/>
    <mergeCell ref="AC376:AI376"/>
    <mergeCell ref="AC367:AI367"/>
    <mergeCell ref="AC371:AP371"/>
    <mergeCell ref="AC372:AI372"/>
    <mergeCell ref="AJ372:AP372"/>
    <mergeCell ref="AJ346:AP346"/>
    <mergeCell ref="AC351:AI351"/>
    <mergeCell ref="AJ351:AP351"/>
    <mergeCell ref="K303:N303"/>
    <mergeCell ref="K323:L323"/>
    <mergeCell ref="K324:L324"/>
    <mergeCell ref="M322:N322"/>
    <mergeCell ref="N314:N315"/>
    <mergeCell ref="C337:F338"/>
    <mergeCell ref="G337:G338"/>
    <mergeCell ref="O314:O315"/>
    <mergeCell ref="M320:N321"/>
    <mergeCell ref="L336:L337"/>
    <mergeCell ref="K336:K337"/>
    <mergeCell ref="O303:P303"/>
    <mergeCell ref="C8:G9"/>
    <mergeCell ref="C22:E23"/>
    <mergeCell ref="F22:G23"/>
    <mergeCell ref="C38:F39"/>
    <mergeCell ref="G38:G39"/>
    <mergeCell ref="C28:E29"/>
    <mergeCell ref="F28:F29"/>
    <mergeCell ref="G28:G29"/>
    <mergeCell ref="C36:F37"/>
    <mergeCell ref="G36:G37"/>
    <mergeCell ref="C34:F35"/>
    <mergeCell ref="G34:G35"/>
    <mergeCell ref="C30:F31"/>
    <mergeCell ref="G30:G31"/>
    <mergeCell ref="C32:G33"/>
    <mergeCell ref="C12:E15"/>
    <mergeCell ref="C11:E11"/>
    <mergeCell ref="G12:G15"/>
    <mergeCell ref="C16:G17"/>
    <mergeCell ref="C18:D19"/>
    <mergeCell ref="C20:D21"/>
    <mergeCell ref="E18:G19"/>
    <mergeCell ref="E20:G21"/>
    <mergeCell ref="C24:F25"/>
    <mergeCell ref="C42:G42"/>
    <mergeCell ref="C45:G46"/>
    <mergeCell ref="C43:E43"/>
    <mergeCell ref="C303:D303"/>
    <mergeCell ref="E303:F303"/>
    <mergeCell ref="R333:S333"/>
    <mergeCell ref="G303:I305"/>
    <mergeCell ref="C26:F27"/>
    <mergeCell ref="G26:G27"/>
    <mergeCell ref="C40:F41"/>
    <mergeCell ref="G40:G41"/>
    <mergeCell ref="P333:Q333"/>
    <mergeCell ref="C306:D306"/>
    <mergeCell ref="E306:F306"/>
    <mergeCell ref="K42:Q43"/>
    <mergeCell ref="R42:Z43"/>
    <mergeCell ref="O318:O319"/>
    <mergeCell ref="O320:O321"/>
    <mergeCell ref="N316:N317"/>
    <mergeCell ref="Q314:S314"/>
    <mergeCell ref="P313:S313"/>
    <mergeCell ref="K313:L313"/>
    <mergeCell ref="O316:O317"/>
    <mergeCell ref="K332:M332"/>
  </mergeCells>
  <hyperlinks>
    <hyperlink ref="K348" r:id="rId1" display="W%@0% F.R"/>
    <hyperlink ref="W305" r:id="rId2" display="W%@0% F.R"/>
    <hyperlink ref="F22" r:id="rId3"/>
    <hyperlink ref="F43" r:id="rId4"/>
    <hyperlink ref="F22:G23" r:id="rId5" display="www.creditcapable.co.nz/html/gold.html"/>
  </hyperlinks>
  <printOptions horizontalCentered="1" verticalCentered="1"/>
  <pageMargins left="7.874015748031496E-2" right="7.874015748031496E-2" top="7.874015748031496E-2" bottom="7.874015748031496E-2" header="0" footer="0"/>
  <pageSetup paperSize="9" scale="79" orientation="landscape" r:id="rId6"/>
  <headerFooter scaleWithDoc="0" alignWithMargins="0">
    <oddFooter>&amp;L&amp;BCredit Capable Confidential&amp;B&amp;C&amp;D&amp;RPage &amp;P</oddFooter>
  </headerFooter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9" name="Drop Down 1">
              <controlPr locked="0" defaultSize="0" autoLine="0" autoPict="0">
                <anchor moveWithCells="1">
                  <from>
                    <xdr:col>3</xdr:col>
                    <xdr:colOff>228600</xdr:colOff>
                    <xdr:row>17</xdr:row>
                    <xdr:rowOff>57150</xdr:rowOff>
                  </from>
                  <to>
                    <xdr:col>4</xdr:col>
                    <xdr:colOff>466725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10" name="Drop Down 2">
              <controlPr locked="0" defaultSize="0" autoLine="0" autoPict="0">
                <anchor moveWithCells="1">
                  <from>
                    <xdr:col>5</xdr:col>
                    <xdr:colOff>752475</xdr:colOff>
                    <xdr:row>17</xdr:row>
                    <xdr:rowOff>57150</xdr:rowOff>
                  </from>
                  <to>
                    <xdr:col>6</xdr:col>
                    <xdr:colOff>1181100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11" name="Drop Down 3">
              <controlPr locked="0" defaultSize="0" autoLine="0" autoPict="0">
                <anchor moveWithCells="1">
                  <from>
                    <xdr:col>5</xdr:col>
                    <xdr:colOff>752475</xdr:colOff>
                    <xdr:row>19</xdr:row>
                    <xdr:rowOff>28575</xdr:rowOff>
                  </from>
                  <to>
                    <xdr:col>6</xdr:col>
                    <xdr:colOff>1190625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12" name="Drop Down 4">
              <controlPr locked="0" defaultSize="0" autoLine="0" autoPict="0">
                <anchor moveWithCells="1">
                  <from>
                    <xdr:col>3</xdr:col>
                    <xdr:colOff>228600</xdr:colOff>
                    <xdr:row>19</xdr:row>
                    <xdr:rowOff>19050</xdr:rowOff>
                  </from>
                  <to>
                    <xdr:col>4</xdr:col>
                    <xdr:colOff>476250</xdr:colOff>
                    <xdr:row>20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..  How it Works ..</vt:lpstr>
      <vt:lpstr>..  Individual and Business  ..</vt:lpstr>
      <vt:lpstr>'..  How it Works ..'!Print_Area</vt:lpstr>
      <vt:lpstr>'..  Individual and Business  ..'!Print_Area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Processing1</dc:creator>
  <cp:lastModifiedBy>Leon VanKan</cp:lastModifiedBy>
  <cp:lastPrinted>2021-05-31T01:15:33Z</cp:lastPrinted>
  <dcterms:created xsi:type="dcterms:W3CDTF">2008-07-30T00:44:09Z</dcterms:created>
  <dcterms:modified xsi:type="dcterms:W3CDTF">2025-02-16T23:05:35Z</dcterms:modified>
</cp:coreProperties>
</file>